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9155" windowHeight="8505"/>
  </bookViews>
  <sheets>
    <sheet name="Magyarázat" sheetId="6" r:id="rId1"/>
    <sheet name="Tőkeköltség, energiaár" sheetId="2" r:id="rId2"/>
    <sheet name="O&amp;M, F, egyéb" sheetId="1" r:id="rId3"/>
    <sheet name="Árszerkezet" sheetId="5" r:id="rId4"/>
  </sheets>
  <calcPr calcId="125725"/>
</workbook>
</file>

<file path=xl/calcChain.xml><?xml version="1.0" encoding="utf-8"?>
<calcChain xmlns="http://schemas.openxmlformats.org/spreadsheetml/2006/main">
  <c r="M6" i="1"/>
  <c r="E13"/>
  <c r="D13"/>
  <c r="C13"/>
  <c r="L8"/>
  <c r="D26"/>
  <c r="D25"/>
  <c r="B28" i="2"/>
  <c r="H39"/>
  <c r="B17" l="1"/>
  <c r="E38" s="1"/>
  <c r="E39" s="1"/>
  <c r="E45" l="1"/>
  <c r="M18" i="1"/>
  <c r="B70" i="2"/>
  <c r="D10" i="1"/>
  <c r="D11"/>
  <c r="I5"/>
  <c r="H10"/>
  <c r="M20"/>
  <c r="H7" s="1"/>
  <c r="H12" s="1"/>
  <c r="B55" i="2"/>
  <c r="B9"/>
  <c r="E7" i="1" s="1"/>
  <c r="B22" i="2"/>
  <c r="G8" i="1"/>
  <c r="G12"/>
  <c r="L7"/>
  <c r="L6"/>
  <c r="D70" i="2"/>
  <c r="F70" s="1"/>
  <c r="E85" s="1"/>
  <c r="G11" i="1"/>
  <c r="G10"/>
  <c r="I10" l="1"/>
  <c r="D7"/>
  <c r="D12" s="1"/>
  <c r="C7"/>
  <c r="C12" s="1"/>
  <c r="E8"/>
  <c r="E12"/>
  <c r="I7"/>
  <c r="I12" s="1"/>
  <c r="H8"/>
  <c r="H6"/>
  <c r="G13"/>
  <c r="E86" i="2"/>
  <c r="E70"/>
  <c r="E6"/>
  <c r="B63" s="1"/>
  <c r="D14" i="1" l="1"/>
  <c r="C8"/>
  <c r="D8"/>
  <c r="H13"/>
  <c r="I8"/>
  <c r="H11"/>
  <c r="I6"/>
  <c r="I11" s="1"/>
  <c r="G70" i="2"/>
  <c r="E90" s="1"/>
  <c r="E91"/>
  <c r="D63"/>
  <c r="D86" s="1"/>
  <c r="B56"/>
  <c r="D55" s="1"/>
  <c r="C86" s="1"/>
  <c r="B68"/>
  <c r="C11" i="1"/>
  <c r="E11"/>
  <c r="E10"/>
  <c r="C10"/>
  <c r="I13" l="1"/>
  <c r="I16" s="1"/>
  <c r="H16"/>
  <c r="D29"/>
  <c r="D27"/>
  <c r="D30"/>
  <c r="D28"/>
  <c r="C14"/>
  <c r="E14"/>
  <c r="B10" i="2"/>
  <c r="F75" s="1"/>
  <c r="F76" s="1"/>
  <c r="F63"/>
  <c r="E63"/>
  <c r="D91" s="1"/>
  <c r="D85" l="1"/>
  <c r="B61"/>
  <c r="E80"/>
  <c r="E81" s="1"/>
  <c r="E75"/>
  <c r="E76" s="1"/>
  <c r="B69"/>
  <c r="E55"/>
  <c r="F55"/>
  <c r="G63"/>
  <c r="C85" l="1"/>
  <c r="B53"/>
  <c r="G55"/>
  <c r="C91"/>
  <c r="B62"/>
  <c r="D90"/>
  <c r="D80" l="1"/>
  <c r="D81" s="1"/>
  <c r="C90"/>
  <c r="C80"/>
  <c r="D75"/>
  <c r="D76" s="1"/>
  <c r="C81" l="1"/>
  <c r="C75"/>
  <c r="C76" s="1"/>
  <c r="B54"/>
  <c r="F39"/>
  <c r="F40" s="1"/>
  <c r="E40" l="1"/>
  <c r="E46"/>
  <c r="E41" l="1"/>
  <c r="F41"/>
  <c r="F42" l="1"/>
  <c r="E42"/>
  <c r="E43" l="1"/>
  <c r="F43"/>
  <c r="F44" l="1"/>
  <c r="E44"/>
  <c r="E47" s="1"/>
  <c r="F45" l="1"/>
  <c r="F46" s="1"/>
  <c r="F47" s="1"/>
  <c r="B39" l="1"/>
  <c r="B40"/>
  <c r="B86"/>
  <c r="I39" l="1"/>
  <c r="K39" s="1"/>
  <c r="B90" s="1"/>
  <c r="F90" s="1"/>
  <c r="J39"/>
  <c r="B37" s="1"/>
  <c r="B91"/>
  <c r="F91" s="1"/>
  <c r="F22"/>
  <c r="F86"/>
  <c r="F29" s="1"/>
  <c r="B85" l="1"/>
  <c r="E22" s="1"/>
  <c r="B80"/>
  <c r="B38"/>
  <c r="B75"/>
  <c r="F85" l="1"/>
  <c r="E29" s="1"/>
  <c r="G75"/>
  <c r="E26" s="1"/>
  <c r="B76"/>
  <c r="E19"/>
  <c r="F80"/>
  <c r="B81"/>
  <c r="F20" s="1"/>
  <c r="E20"/>
  <c r="D31" i="1" s="1"/>
  <c r="E26" s="1"/>
  <c r="E25" l="1"/>
  <c r="F81" i="2"/>
  <c r="F27" s="1"/>
  <c r="E27"/>
  <c r="F19"/>
  <c r="G76"/>
  <c r="F26" s="1"/>
  <c r="E27" i="1" l="1"/>
  <c r="E28"/>
  <c r="E29"/>
  <c r="E30"/>
</calcChain>
</file>

<file path=xl/comments1.xml><?xml version="1.0" encoding="utf-8"?>
<comments xmlns="http://schemas.openxmlformats.org/spreadsheetml/2006/main">
  <authors>
    <author>perger</author>
  </authors>
  <commentList>
    <comment ref="D2" authorId="0">
      <text>
        <r>
          <rPr>
            <b/>
            <sz val="9"/>
            <color indexed="81"/>
            <rFont val="Tahoma"/>
            <family val="2"/>
            <charset val="238"/>
          </rPr>
          <t>Ez a rész opcionális. Az benne található számokat csak példaként tüntettük fel!</t>
        </r>
      </text>
    </comment>
    <comment ref="A10" authorId="0">
      <text>
        <r>
          <rPr>
            <b/>
            <sz val="9"/>
            <color indexed="81"/>
            <rFont val="Tahoma"/>
            <family val="2"/>
            <charset val="238"/>
          </rPr>
          <t>O&amp;M: operation and maintenance, üzemeltetés és karbantartás</t>
        </r>
      </text>
    </comment>
    <comment ref="D10" authorId="0">
      <text>
        <r>
          <rPr>
            <b/>
            <sz val="9"/>
            <color indexed="81"/>
            <rFont val="Tahoma"/>
            <family val="2"/>
            <charset val="238"/>
          </rPr>
          <t>Ez a rész opcionális. Az benne található számokat csak példaként tüntettük fel!</t>
        </r>
      </text>
    </comment>
    <comment ref="D24" authorId="0">
      <text>
        <r>
          <rPr>
            <b/>
            <sz val="9"/>
            <color indexed="81"/>
            <rFont val="Tahoma"/>
            <family val="2"/>
            <charset val="238"/>
          </rPr>
          <t>Ez a rész opcionális. Az benne található számokat csak példaként tüntettük fel!</t>
        </r>
      </text>
    </comment>
  </commentList>
</comments>
</file>

<file path=xl/comments2.xml><?xml version="1.0" encoding="utf-8"?>
<comments xmlns="http://schemas.openxmlformats.org/spreadsheetml/2006/main">
  <authors>
    <author>perger</author>
  </authors>
  <commentList>
    <comment ref="F3" authorId="0">
      <text>
        <r>
          <rPr>
            <b/>
            <sz val="9"/>
            <color indexed="81"/>
            <rFont val="Tahoma"/>
            <family val="2"/>
            <charset val="238"/>
          </rPr>
          <t>A 2010-es tanulmány adatait (USD/MWh) átszámítottuk 2014-es USD-re, majd ezt euróra, a továbbiakban ezzel számoltunk.</t>
        </r>
      </text>
    </comment>
    <comment ref="B5" authorId="0">
      <text>
        <r>
          <rPr>
            <b/>
            <sz val="9"/>
            <color indexed="81"/>
            <rFont val="Tahoma"/>
            <family val="2"/>
            <charset val="238"/>
          </rPr>
          <t>O&amp;M: operation and maintenance, üzemeltetés és karbantartás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5" authorId="0">
      <text>
        <r>
          <rPr>
            <b/>
            <sz val="9"/>
            <color indexed="81"/>
            <rFont val="Tahoma"/>
            <family val="2"/>
            <charset val="238"/>
          </rPr>
          <t>A tanulmányban az O&amp;M költség tartalmazza a hulladékokkal kapcsolatos kiadásokat.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8" authorId="0">
      <text>
        <r>
          <rPr>
            <b/>
            <sz val="9"/>
            <color indexed="81"/>
            <rFont val="Tahoma"/>
            <charset val="1"/>
          </rPr>
          <t>Központi Nukleáris Pénzügyi Alap</t>
        </r>
      </text>
    </comment>
    <comment ref="B13" authorId="0">
      <text>
        <r>
          <rPr>
            <b/>
            <sz val="9"/>
            <color indexed="81"/>
            <rFont val="Tahoma"/>
            <family val="2"/>
            <charset val="238"/>
          </rPr>
          <t>A tanulmányból nem derült ki egyértelműen, hogy a hulladékkezelés költségeit tartalmazzák-e a számok, ezért a jelenlegi paksi költséggel számoltunk a hulladékokra (az 1,30 Ft-os KNPA befizezésből vontuk le a REKK tanulmány leszerelésre vonatkozó adatainak átlagát).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<sst xmlns="http://schemas.openxmlformats.org/spreadsheetml/2006/main" count="225" uniqueCount="112">
  <si>
    <t>Reaktorok száma</t>
  </si>
  <si>
    <t>Ft/EUR</t>
  </si>
  <si>
    <t>Ft</t>
  </si>
  <si>
    <t>EUR</t>
  </si>
  <si>
    <t>20% önrész</t>
  </si>
  <si>
    <t>Ft/kWh</t>
  </si>
  <si>
    <t>Kamat</t>
  </si>
  <si>
    <t>Orosz hitel</t>
  </si>
  <si>
    <t>O&amp;M</t>
  </si>
  <si>
    <t>min</t>
  </si>
  <si>
    <t>max</t>
  </si>
  <si>
    <t>USD/MWh</t>
  </si>
  <si>
    <t>HUF/kWh</t>
  </si>
  <si>
    <t>Kapacitás-kihasználtság</t>
  </si>
  <si>
    <t>Törlesztési idő</t>
  </si>
  <si>
    <t>Kamat 1</t>
  </si>
  <si>
    <t>Kamat 2</t>
  </si>
  <si>
    <t>Kamat 3</t>
  </si>
  <si>
    <t>Kamattal terhelt tőke</t>
  </si>
  <si>
    <t>Tőkekifizetés EUR</t>
  </si>
  <si>
    <t>HUF</t>
  </si>
  <si>
    <t>Fajlagos tőkeköltség</t>
  </si>
  <si>
    <t>Energiaár</t>
  </si>
  <si>
    <t>Tőkehalmozódás építés alatt</t>
  </si>
  <si>
    <t>Éves részlet</t>
  </si>
  <si>
    <t>Teljes törlesztendő</t>
  </si>
  <si>
    <t>Alapadatok</t>
  </si>
  <si>
    <t>Év</t>
  </si>
  <si>
    <t>Teljes</t>
  </si>
  <si>
    <t>EUR/MWh</t>
  </si>
  <si>
    <t>Szakaszosan felvett hitel összege (EUR)</t>
  </si>
  <si>
    <t>Egy összegben felvett hitel összege (EUR)</t>
  </si>
  <si>
    <t>20%-os önrész adatai</t>
  </si>
  <si>
    <t>MWe</t>
  </si>
  <si>
    <t>CAPEX (EUR/kW)</t>
  </si>
  <si>
    <t>Törlesztés kezdete</t>
  </si>
  <si>
    <t>Total CAPEX EUR</t>
  </si>
  <si>
    <t>REKK</t>
  </si>
  <si>
    <t>Hitel felvétele</t>
  </si>
  <si>
    <t>MWe net</t>
  </si>
  <si>
    <t>Járulékos beruházások Pakson</t>
  </si>
  <si>
    <t>Költségnövekedés</t>
  </si>
  <si>
    <t>Aránya a bekerülési költségre vetítve</t>
  </si>
  <si>
    <t>Törlesztési idő (év)</t>
  </si>
  <si>
    <t>Kamat 4</t>
  </si>
  <si>
    <t>O&amp;M, üzemanyag, egyéb</t>
  </si>
  <si>
    <t>Magyar fél által fizetendő rész</t>
  </si>
  <si>
    <t>Tervezett üzemidő, év</t>
  </si>
  <si>
    <t>Törlesztés (átlagkamat: 4,75%)</t>
  </si>
  <si>
    <t>Törlesztés</t>
  </si>
  <si>
    <t>Teljes tőkeköltség</t>
  </si>
  <si>
    <t>Üzemanyag</t>
  </si>
  <si>
    <t>Paks 2012</t>
  </si>
  <si>
    <t>Kiadott energia, kWh</t>
  </si>
  <si>
    <t>Bevétel</t>
  </si>
  <si>
    <t>Összes ráfordítások</t>
  </si>
  <si>
    <t>Leszerelés</t>
  </si>
  <si>
    <t>Kamat 2,3,4 átlag</t>
  </si>
  <si>
    <t>Évi tőkeköltség</t>
  </si>
  <si>
    <t>Kiadott kWh/év</t>
  </si>
  <si>
    <t>Források:</t>
  </si>
  <si>
    <t>Atomerőművi beruházások üzleti modelljei és várható megtérülésük, REKK, 2013. december</t>
  </si>
  <si>
    <t>Reaktor típusa</t>
  </si>
  <si>
    <t>Projected costs of generating electricity</t>
  </si>
  <si>
    <t>Projected costs of generating electricity, IEA NEA, 2010</t>
  </si>
  <si>
    <t>MVM Paksi Atomerőmű Zrt. kiegészítő melléklet a magyar számviteli törvény szerint készített egyedi éves beszámolóhoz, 2012</t>
  </si>
  <si>
    <t>Járulékos beruházások Pakson és egyéb projektköltségek</t>
  </si>
  <si>
    <t>USD/MWh (2010)</t>
  </si>
  <si>
    <t>EUR/HUF</t>
  </si>
  <si>
    <t>USD 2014/USD 2010</t>
  </si>
  <si>
    <t>USD/HUF</t>
  </si>
  <si>
    <t>EUR/USD</t>
  </si>
  <si>
    <t>http://data.bls.gov/cgi-bin/cpicalc.pl</t>
  </si>
  <si>
    <t>USD 2014/MWh</t>
  </si>
  <si>
    <t>KNPA befizetés</t>
  </si>
  <si>
    <t>közép</t>
  </si>
  <si>
    <t>Hulladék</t>
  </si>
  <si>
    <t>Átlag</t>
  </si>
  <si>
    <t>Éves tőkeköltség</t>
  </si>
  <si>
    <t>O&amp;M, üzemanyag, hulladék, leszerelés, Ft/kWh</t>
  </si>
  <si>
    <t>Egy blokkra számított hitel összege</t>
  </si>
  <si>
    <t>Árszerkezet</t>
  </si>
  <si>
    <t>Orosz hitel + 20% önrész</t>
  </si>
  <si>
    <t>Költségnövekedéssel, paksi járulékos beruházásokkal</t>
  </si>
  <si>
    <t>VVER V-392M (AES-2006)</t>
  </si>
  <si>
    <t>Összesen</t>
  </si>
  <si>
    <t>Nem számoltunk a villamosenergia-rendszert érintő fejlesztések (vezetékek, tartalékkapacitások stb.) költségeivel, mivel azok hatása nem a paksi áramárban fog jelentkezni.</t>
  </si>
  <si>
    <t>A modell készítése során alkalmazott feltételezések, megkötések:</t>
  </si>
  <si>
    <t>Nem számoltunk a fentiek alapján kapott áramárnak a fogyasztói árakra gyakorolt hatásával.</t>
  </si>
  <si>
    <t>Az ilyen formátumú mezők számításokat  tartalmaznak, felülírásuk nem szükséges, de lehetséges.</t>
  </si>
  <si>
    <t>A modellben megadott feltételek szabadon variálhatóak az ilyen formátumú mezőkben.</t>
  </si>
  <si>
    <t>Rövidítések:</t>
  </si>
  <si>
    <t>O&amp;M:  operation and maintenance, üzemeltetés és karbantartás</t>
  </si>
  <si>
    <t>A költségnövekedéssel, illetve a Pakson szükséges járulékos beruházásokkal és egyéb projektköltségekkel foglalkozó részeket az ilyen formátumú címsorok tartalmazzák.</t>
  </si>
  <si>
    <t>+20% önrész</t>
  </si>
  <si>
    <t>CAPEX: capital expenditure, befektetés költsége</t>
  </si>
  <si>
    <t>A költségnövekedéssel, illetve a Pakson szükséges járulékos beruházásokkal és egyéb projektköltségekkel foglalkozó rész csak opcionális; tartalmilag nagyon sokminden a hitelszerződéstől, és egyéb, ma még ismeretlen körülménytől függ, így egyelőre nem lehet komolyan számolni ezekkel. Ezzel együtt, felkészítettük a modellt néhány alapfeltételezéssel (pl. euróhitellel oldanák meg a  finanszírozást) az ezekel való egyszerű kalkulációkra is. Az e részben található számokat csak példaként tüntettük fel!</t>
  </si>
  <si>
    <t>A (még építés alatt álló) Novovoronyezs II-1-essel megegyező, VVER V-392M (AES-2006) blokkokat építenek.</t>
  </si>
  <si>
    <t>A számítást egy blokkra készítettük el, a kétblokkos megoldás bonyolítja a képet (pl. el kell már kezdeni törleszteni a hitelt, de még csak az első blokk üzemel, a másodikat még építik).</t>
  </si>
  <si>
    <t>A hitel folyósítását 2016-ban kezdik meg, a blokk 2025. január 1-jén áll üzembe, és a törlesztést is 2025-ben kell megkezdeni.</t>
  </si>
  <si>
    <t>Az építkezéshez elégséges lesz az orosz állam által biztosított hitel, illetve az ahhoz hozzáteendő 20%-nyi önrész (egy blokkra számítva 5 + 1,25 milliárd euró), tehát nem számoltunk a költségek építkezés közbeni növekedésével, a beruházás megcsúszásával, a terhek ezekből adódó növekedésével.</t>
  </si>
  <si>
    <t>A projekt finanszírozására tartalmi értelemben is elégséges lesz az orosz hitel + 20% önrész konstrukció; a blokkoknak a paksi telephelyre történő behelyezéséhez (pl. alállomás, hűtővíz biztosítása) szükséges infrastrukturális beruházások költségei, illetve a projekt egyéb költségei (pl. engedélyezés, MVM Paks II. Zrt. költségei) is fedezhetőek ezekből a forrásokból.</t>
  </si>
  <si>
    <t>Az építkezéshez felvett hiteleket az energia árában kell megfizetni.</t>
  </si>
  <si>
    <t>Az orosz hitelt szakaszosan, az évi összeget az építkezés igényeihez igazítva folyósítják, az első 9 évben 3,95% kamatra; a törlesztési időszakra átlagosan 4,75% kamattal számoltunk, és 21 éves törlesztési idővel.</t>
  </si>
  <si>
    <t>Az önrészhez szükséges összeget hitelből teremtik elő, amit egy összegben vesznek fel, az építkezés utolsó 3 évére, a modellben 8% kamat mellett, 20 éves futamidőre.</t>
  </si>
  <si>
    <t>A tőkeköltségek alapja a két felvett hitelnek az építkezési idő kamatokkal terhelt összege; mindekettő esetében akkor kell megkezdeni a törlesztést, amikor elindul a blokk (2025-ben; az orosz hitel esetében 9, a másiknál 3 éves türelmi időt vettünk alapul).</t>
  </si>
  <si>
    <t>A hiteleket évi részletekben, annuitásos törlesztéssel fizetjük.</t>
  </si>
  <si>
    <t>A blokkok 90%-os teljesítmény-kihasználással üzemelnek.</t>
  </si>
  <si>
    <t>Az üzemeltetési, hulladékokkal, üzemanyaggal stb. összefüggő költségekhez több számítást és tényadatot vettünk alapul: a REKK által készített elemzés forgatókönyveit, az OECD IEA-NEA 2010-es számításának Magyarországra vonatkozó számait, illetve a Paksi Atomerőmű működő blokkjainak adatait átlagoltuk (így a mostani paksi árnál alacsonyabb ár jött ki).</t>
  </si>
  <si>
    <t>Nem vettünk figyelembe diszkontrátát; nem számoltunk megtérülést, csak nagyságrendi becslés elkészítésére vállalkoztunk.</t>
  </si>
  <si>
    <t>A kapott eredményből semmilyen következtetést nem lehet levonni a 2020-as évek közepére várható hazai és nemzetközi energiapiaci helyzetre, villamosenergia-igényekre, árakra, versenyképességre stb. vonatkozóan.</t>
  </si>
  <si>
    <t>KNPA: Központi Nukleáris Pénzügyi Alap, a radioaktív hulladékok kezelésének és az atomerőmű leszerelésének finanszírozására létehozott alap</t>
  </si>
</sst>
</file>

<file path=xl/styles.xml><?xml version="1.0" encoding="utf-8"?>
<styleSheet xmlns="http://schemas.openxmlformats.org/spreadsheetml/2006/main">
  <numFmts count="9">
    <numFmt numFmtId="8" formatCode="#,##0.00\ &quot;Ft&quot;;[Red]\-#,##0.00\ &quot;Ft&quot;"/>
    <numFmt numFmtId="43" formatCode="_-* #,##0.00\ _F_t_-;\-* #,##0.00\ _F_t_-;_-* &quot;-&quot;??\ _F_t_-;_-@_-"/>
    <numFmt numFmtId="164" formatCode="_-* #,##0\ _F_t_-;\-* #,##0\ _F_t_-;_-* &quot;-&quot;??\ _F_t_-;_-@_-"/>
    <numFmt numFmtId="165" formatCode="_-* #,##0.0000000\ _F_t_-;\-* #,##0.0000000\ _F_t_-;_-* &quot;-&quot;??\ _F_t_-;_-@_-"/>
    <numFmt numFmtId="166" formatCode="_-* #,##0.0000000\ _F_t_-;\-* #,##0.0000000\ _F_t_-;_-* &quot;-&quot;???????\ _F_t_-;_-@_-"/>
    <numFmt numFmtId="167" formatCode="#,##0.00\ [$EUR];[Red]\-#,##0.00\ [$EUR]"/>
    <numFmt numFmtId="168" formatCode="#,##0.00\ [$EUR]"/>
    <numFmt numFmtId="169" formatCode="#,##0.00\ &quot;Ft&quot;"/>
    <numFmt numFmtId="170" formatCode="0.000"/>
  </numFmts>
  <fonts count="12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512383"/>
      <name val="Calibri"/>
      <family val="2"/>
      <charset val="238"/>
      <scheme val="minor"/>
    </font>
    <font>
      <b/>
      <sz val="11"/>
      <color rgb="FFE4240E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9"/>
      <color indexed="81"/>
      <name val="Tahoma"/>
      <charset val="1"/>
    </font>
  </fonts>
  <fills count="8">
    <fill>
      <patternFill patternType="none"/>
    </fill>
    <fill>
      <patternFill patternType="gray125"/>
    </fill>
    <fill>
      <patternFill patternType="solid">
        <fgColor rgb="FF81CAC9"/>
        <bgColor indexed="64"/>
      </patternFill>
    </fill>
    <fill>
      <patternFill patternType="solid">
        <fgColor rgb="FF7A93C5"/>
        <bgColor indexed="64"/>
      </patternFill>
    </fill>
    <fill>
      <patternFill patternType="solid">
        <fgColor rgb="FF94C11C"/>
        <bgColor indexed="64"/>
      </patternFill>
    </fill>
    <fill>
      <patternFill patternType="solid">
        <fgColor rgb="FFE4240E"/>
        <bgColor indexed="64"/>
      </patternFill>
    </fill>
    <fill>
      <patternFill patternType="solid">
        <fgColor rgb="FFFFD300"/>
        <bgColor indexed="64"/>
      </patternFill>
    </fill>
    <fill>
      <patternFill patternType="solid">
        <fgColor rgb="FF7C003D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0">
    <xf numFmtId="0" fontId="0" fillId="0" borderId="0" xfId="0"/>
    <xf numFmtId="164" fontId="0" fillId="0" borderId="0" xfId="0" applyNumberFormat="1"/>
    <xf numFmtId="164" fontId="0" fillId="0" borderId="0" xfId="1" applyNumberFormat="1" applyFont="1" applyAlignment="1">
      <alignment horizontal="right"/>
    </xf>
    <xf numFmtId="43" fontId="0" fillId="0" borderId="0" xfId="1" applyFont="1"/>
    <xf numFmtId="0" fontId="0" fillId="0" borderId="1" xfId="0" applyBorder="1"/>
    <xf numFmtId="0" fontId="0" fillId="0" borderId="0" xfId="0" applyAlignment="1"/>
    <xf numFmtId="0" fontId="0" fillId="0" borderId="0" xfId="0" applyAlignment="1">
      <alignment horizontal="center"/>
    </xf>
    <xf numFmtId="164" fontId="0" fillId="0" borderId="0" xfId="0" applyNumberFormat="1" applyFill="1"/>
    <xf numFmtId="43" fontId="0" fillId="0" borderId="0" xfId="1" applyFont="1" applyFill="1"/>
    <xf numFmtId="167" fontId="0" fillId="0" borderId="0" xfId="0" applyNumberFormat="1" applyFill="1"/>
    <xf numFmtId="168" fontId="0" fillId="0" borderId="0" xfId="0" applyNumberFormat="1" applyFont="1" applyFill="1"/>
    <xf numFmtId="169" fontId="0" fillId="0" borderId="0" xfId="0" applyNumberFormat="1"/>
    <xf numFmtId="0" fontId="0" fillId="0" borderId="0" xfId="0" applyFill="1"/>
    <xf numFmtId="43" fontId="0" fillId="0" borderId="0" xfId="0" applyNumberFormat="1" applyFill="1"/>
    <xf numFmtId="0" fontId="0" fillId="0" borderId="0" xfId="0" applyFill="1" applyAlignment="1">
      <alignment horizontal="center"/>
    </xf>
    <xf numFmtId="43" fontId="0" fillId="0" borderId="0" xfId="1" applyFont="1" applyFill="1" applyAlignment="1">
      <alignment horizontal="center"/>
    </xf>
    <xf numFmtId="0" fontId="0" fillId="0" borderId="0" xfId="0" applyFill="1" applyAlignment="1"/>
    <xf numFmtId="169" fontId="2" fillId="0" borderId="0" xfId="0" applyNumberFormat="1" applyFont="1"/>
    <xf numFmtId="168" fontId="0" fillId="0" borderId="0" xfId="0" applyNumberFormat="1"/>
    <xf numFmtId="0" fontId="2" fillId="0" borderId="0" xfId="0" applyFont="1"/>
    <xf numFmtId="8" fontId="0" fillId="0" borderId="0" xfId="0" applyNumberFormat="1" applyFill="1"/>
    <xf numFmtId="167" fontId="3" fillId="0" borderId="0" xfId="0" applyNumberFormat="1" applyFont="1" applyFill="1" applyAlignment="1"/>
    <xf numFmtId="0" fontId="0" fillId="0" borderId="0" xfId="0" applyBorder="1"/>
    <xf numFmtId="2" fontId="0" fillId="0" borderId="1" xfId="0" applyNumberFormat="1" applyBorder="1"/>
    <xf numFmtId="2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9" fontId="0" fillId="0" borderId="0" xfId="0" applyNumberFormat="1" applyFill="1" applyAlignment="1">
      <alignment horizontal="center"/>
    </xf>
    <xf numFmtId="164" fontId="0" fillId="0" borderId="0" xfId="1" applyNumberFormat="1" applyFont="1" applyFill="1"/>
    <xf numFmtId="164" fontId="2" fillId="0" borderId="0" xfId="1" applyNumberFormat="1" applyFont="1" applyFill="1"/>
    <xf numFmtId="165" fontId="0" fillId="0" borderId="0" xfId="1" applyNumberFormat="1" applyFont="1" applyFill="1"/>
    <xf numFmtId="165" fontId="2" fillId="0" borderId="0" xfId="1" applyNumberFormat="1" applyFont="1" applyFill="1"/>
    <xf numFmtId="166" fontId="0" fillId="0" borderId="0" xfId="0" applyNumberFormat="1" applyFill="1"/>
    <xf numFmtId="165" fontId="0" fillId="0" borderId="0" xfId="0" applyNumberFormat="1" applyFill="1"/>
    <xf numFmtId="9" fontId="0" fillId="0" borderId="0" xfId="0" applyNumberFormat="1" applyFill="1"/>
    <xf numFmtId="166" fontId="2" fillId="0" borderId="0" xfId="0" applyNumberFormat="1" applyFont="1" applyFill="1"/>
    <xf numFmtId="43" fontId="0" fillId="0" borderId="0" xfId="0" applyNumberFormat="1"/>
    <xf numFmtId="0" fontId="3" fillId="0" borderId="0" xfId="0" applyFont="1" applyFill="1" applyAlignment="1"/>
    <xf numFmtId="0" fontId="0" fillId="0" borderId="0" xfId="0" applyAlignment="1">
      <alignment horizontal="center"/>
    </xf>
    <xf numFmtId="0" fontId="0" fillId="0" borderId="4" xfId="0" applyBorder="1"/>
    <xf numFmtId="168" fontId="0" fillId="0" borderId="0" xfId="0" applyNumberFormat="1" applyFill="1"/>
    <xf numFmtId="169" fontId="0" fillId="0" borderId="0" xfId="0" applyNumberFormat="1" applyFill="1"/>
    <xf numFmtId="169" fontId="2" fillId="0" borderId="0" xfId="0" applyNumberFormat="1" applyFont="1" applyFill="1"/>
    <xf numFmtId="10" fontId="0" fillId="0" borderId="0" xfId="0" applyNumberFormat="1" applyFill="1" applyAlignment="1">
      <alignment horizontal="center"/>
    </xf>
    <xf numFmtId="43" fontId="0" fillId="0" borderId="0" xfId="0" applyNumberFormat="1" applyFill="1" applyAlignment="1">
      <alignment horizontal="center"/>
    </xf>
    <xf numFmtId="3" fontId="0" fillId="0" borderId="1" xfId="0" applyNumberFormat="1" applyBorder="1"/>
    <xf numFmtId="3" fontId="0" fillId="0" borderId="1" xfId="0" applyNumberFormat="1" applyFill="1" applyBorder="1"/>
    <xf numFmtId="3" fontId="0" fillId="0" borderId="0" xfId="0" applyNumberFormat="1" applyFont="1" applyFill="1"/>
    <xf numFmtId="3" fontId="0" fillId="0" borderId="0" xfId="0" applyNumberFormat="1"/>
    <xf numFmtId="0" fontId="0" fillId="0" borderId="2" xfId="0" applyFill="1" applyBorder="1"/>
    <xf numFmtId="2" fontId="0" fillId="0" borderId="2" xfId="0" applyNumberFormat="1" applyFill="1" applyBorder="1"/>
    <xf numFmtId="0" fontId="0" fillId="0" borderId="21" xfId="0" applyFill="1" applyBorder="1"/>
    <xf numFmtId="2" fontId="0" fillId="0" borderId="10" xfId="0" applyNumberFormat="1" applyFill="1" applyBorder="1"/>
    <xf numFmtId="0" fontId="0" fillId="0" borderId="4" xfId="0" applyFill="1" applyBorder="1"/>
    <xf numFmtId="0" fontId="0" fillId="0" borderId="5" xfId="0" applyFill="1" applyBorder="1"/>
    <xf numFmtId="2" fontId="0" fillId="0" borderId="5" xfId="0" applyNumberFormat="1" applyFill="1" applyBorder="1"/>
    <xf numFmtId="0" fontId="0" fillId="0" borderId="6" xfId="0" applyFill="1" applyBorder="1"/>
    <xf numFmtId="0" fontId="0" fillId="0" borderId="22" xfId="0" applyFill="1" applyBorder="1"/>
    <xf numFmtId="2" fontId="0" fillId="0" borderId="23" xfId="0" applyNumberFormat="1" applyFill="1" applyBorder="1"/>
    <xf numFmtId="2" fontId="0" fillId="0" borderId="24" xfId="0" applyNumberFormat="1" applyFill="1" applyBorder="1"/>
    <xf numFmtId="0" fontId="0" fillId="0" borderId="25" xfId="0" applyFill="1" applyBorder="1"/>
    <xf numFmtId="2" fontId="0" fillId="0" borderId="26" xfId="0" applyNumberFormat="1" applyFill="1" applyBorder="1"/>
    <xf numFmtId="0" fontId="0" fillId="0" borderId="31" xfId="0" applyFill="1" applyBorder="1"/>
    <xf numFmtId="0" fontId="0" fillId="0" borderId="2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3" fontId="0" fillId="0" borderId="10" xfId="0" applyNumberFormat="1" applyFill="1" applyBorder="1"/>
    <xf numFmtId="3" fontId="0" fillId="0" borderId="11" xfId="0" applyNumberFormat="1" applyFill="1" applyBorder="1"/>
    <xf numFmtId="0" fontId="0" fillId="0" borderId="34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2" fontId="0" fillId="0" borderId="32" xfId="0" applyNumberFormat="1" applyFill="1" applyBorder="1"/>
    <xf numFmtId="0" fontId="0" fillId="0" borderId="35" xfId="0" applyFill="1" applyBorder="1"/>
    <xf numFmtId="2" fontId="0" fillId="0" borderId="36" xfId="0" applyNumberFormat="1" applyFill="1" applyBorder="1"/>
    <xf numFmtId="0" fontId="0" fillId="0" borderId="38" xfId="0" applyFill="1" applyBorder="1"/>
    <xf numFmtId="2" fontId="0" fillId="0" borderId="39" xfId="0" applyNumberFormat="1" applyFill="1" applyBorder="1"/>
    <xf numFmtId="0" fontId="0" fillId="0" borderId="0" xfId="0" applyFill="1" applyBorder="1"/>
    <xf numFmtId="0" fontId="0" fillId="0" borderId="33" xfId="0" applyBorder="1"/>
    <xf numFmtId="0" fontId="0" fillId="0" borderId="27" xfId="0" applyBorder="1" applyAlignment="1">
      <alignment horizontal="right"/>
    </xf>
    <xf numFmtId="0" fontId="0" fillId="0" borderId="33" xfId="0" applyBorder="1" applyAlignment="1">
      <alignment horizontal="right"/>
    </xf>
    <xf numFmtId="0" fontId="0" fillId="0" borderId="5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2" fontId="0" fillId="0" borderId="8" xfId="0" applyNumberFormat="1" applyFill="1" applyBorder="1"/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28" xfId="0" applyFill="1" applyBorder="1"/>
    <xf numFmtId="0" fontId="0" fillId="0" borderId="29" xfId="0" applyBorder="1"/>
    <xf numFmtId="0" fontId="0" fillId="0" borderId="47" xfId="0" applyFill="1" applyBorder="1" applyAlignment="1">
      <alignment horizontal="center"/>
    </xf>
    <xf numFmtId="0" fontId="0" fillId="0" borderId="43" xfId="0" applyFill="1" applyBorder="1"/>
    <xf numFmtId="0" fontId="0" fillId="0" borderId="47" xfId="0" applyBorder="1" applyAlignment="1">
      <alignment horizontal="center"/>
    </xf>
    <xf numFmtId="2" fontId="0" fillId="0" borderId="43" xfId="0" applyNumberFormat="1" applyBorder="1"/>
    <xf numFmtId="2" fontId="0" fillId="0" borderId="8" xfId="0" applyNumberFormat="1" applyBorder="1"/>
    <xf numFmtId="0" fontId="0" fillId="0" borderId="10" xfId="0" applyBorder="1" applyAlignment="1">
      <alignment horizontal="center"/>
    </xf>
    <xf numFmtId="2" fontId="0" fillId="0" borderId="10" xfId="0" applyNumberFormat="1" applyBorder="1"/>
    <xf numFmtId="2" fontId="0" fillId="0" borderId="30" xfId="0" applyNumberFormat="1" applyBorder="1"/>
    <xf numFmtId="2" fontId="0" fillId="0" borderId="48" xfId="0" applyNumberFormat="1" applyBorder="1"/>
    <xf numFmtId="2" fontId="0" fillId="0" borderId="29" xfId="0" applyNumberFormat="1" applyFill="1" applyBorder="1"/>
    <xf numFmtId="2" fontId="0" fillId="0" borderId="30" xfId="0" applyNumberFormat="1" applyFill="1" applyBorder="1"/>
    <xf numFmtId="2" fontId="0" fillId="0" borderId="48" xfId="0" applyNumberFormat="1" applyFill="1" applyBorder="1"/>
    <xf numFmtId="0" fontId="0" fillId="0" borderId="21" xfId="0" applyFill="1" applyBorder="1" applyAlignment="1"/>
    <xf numFmtId="2" fontId="0" fillId="0" borderId="37" xfId="0" applyNumberFormat="1" applyBorder="1"/>
    <xf numFmtId="2" fontId="0" fillId="0" borderId="49" xfId="0" applyNumberFormat="1" applyBorder="1"/>
    <xf numFmtId="0" fontId="0" fillId="0" borderId="4" xfId="0" applyFill="1" applyBorder="1" applyAlignment="1">
      <alignment horizontal="center"/>
    </xf>
    <xf numFmtId="2" fontId="0" fillId="0" borderId="0" xfId="0" applyNumberFormat="1" applyFill="1"/>
    <xf numFmtId="164" fontId="6" fillId="0" borderId="0" xfId="1" applyNumberFormat="1" applyFont="1" applyFill="1"/>
    <xf numFmtId="0" fontId="0" fillId="0" borderId="1" xfId="0" applyFill="1" applyBorder="1" applyAlignment="1"/>
    <xf numFmtId="0" fontId="0" fillId="0" borderId="0" xfId="0" applyBorder="1" applyAlignment="1">
      <alignment horizontal="center"/>
    </xf>
    <xf numFmtId="2" fontId="0" fillId="0" borderId="51" xfId="0" applyNumberFormat="1" applyFill="1" applyBorder="1"/>
    <xf numFmtId="2" fontId="0" fillId="0" borderId="29" xfId="0" applyNumberFormat="1" applyBorder="1"/>
    <xf numFmtId="0" fontId="0" fillId="0" borderId="19" xfId="0" applyFill="1" applyBorder="1" applyAlignment="1">
      <alignment horizontal="center"/>
    </xf>
    <xf numFmtId="0" fontId="0" fillId="0" borderId="52" xfId="0" applyFill="1" applyBorder="1"/>
    <xf numFmtId="2" fontId="0" fillId="0" borderId="53" xfId="0" applyNumberFormat="1" applyFill="1" applyBorder="1"/>
    <xf numFmtId="0" fontId="0" fillId="0" borderId="28" xfId="0" applyBorder="1"/>
    <xf numFmtId="0" fontId="0" fillId="0" borderId="54" xfId="0" applyFill="1" applyBorder="1" applyAlignment="1">
      <alignment horizontal="center"/>
    </xf>
    <xf numFmtId="0" fontId="0" fillId="0" borderId="54" xfId="0" applyFill="1" applyBorder="1"/>
    <xf numFmtId="2" fontId="0" fillId="0" borderId="54" xfId="0" applyNumberFormat="1" applyFill="1" applyBorder="1"/>
    <xf numFmtId="2" fontId="0" fillId="0" borderId="55" xfId="0" applyNumberFormat="1" applyBorder="1"/>
    <xf numFmtId="0" fontId="0" fillId="0" borderId="56" xfId="0" applyFill="1" applyBorder="1" applyAlignment="1">
      <alignment horizontal="center"/>
    </xf>
    <xf numFmtId="9" fontId="0" fillId="0" borderId="56" xfId="0" applyNumberFormat="1" applyFill="1" applyBorder="1" applyAlignment="1">
      <alignment horizontal="center"/>
    </xf>
    <xf numFmtId="164" fontId="0" fillId="0" borderId="56" xfId="1" applyNumberFormat="1" applyFont="1" applyFill="1" applyBorder="1"/>
    <xf numFmtId="0" fontId="0" fillId="0" borderId="57" xfId="0" applyBorder="1"/>
    <xf numFmtId="3" fontId="6" fillId="0" borderId="1" xfId="0" applyNumberFormat="1" applyFont="1" applyBorder="1"/>
    <xf numFmtId="2" fontId="6" fillId="0" borderId="1" xfId="0" applyNumberFormat="1" applyFont="1" applyBorder="1" applyAlignment="1"/>
    <xf numFmtId="168" fontId="0" fillId="0" borderId="0" xfId="0" applyNumberFormat="1" applyFill="1" applyAlignment="1"/>
    <xf numFmtId="0" fontId="6" fillId="0" borderId="0" xfId="0" applyFont="1" applyFill="1"/>
    <xf numFmtId="0" fontId="2" fillId="6" borderId="3" xfId="0" applyFont="1" applyFill="1" applyBorder="1"/>
    <xf numFmtId="0" fontId="5" fillId="6" borderId="13" xfId="0" applyFont="1" applyFill="1" applyBorder="1" applyAlignment="1">
      <alignment horizontal="center"/>
    </xf>
    <xf numFmtId="0" fontId="5" fillId="6" borderId="45" xfId="0" applyFont="1" applyFill="1" applyBorder="1" applyAlignment="1">
      <alignment horizontal="center"/>
    </xf>
    <xf numFmtId="0" fontId="2" fillId="6" borderId="16" xfId="0" applyFont="1" applyFill="1" applyBorder="1"/>
    <xf numFmtId="0" fontId="5" fillId="6" borderId="14" xfId="0" applyFont="1" applyFill="1" applyBorder="1" applyAlignment="1">
      <alignment horizontal="center"/>
    </xf>
    <xf numFmtId="0" fontId="5" fillId="6" borderId="20" xfId="0" applyFont="1" applyFill="1" applyBorder="1" applyAlignment="1">
      <alignment horizontal="center"/>
    </xf>
    <xf numFmtId="2" fontId="4" fillId="5" borderId="10" xfId="0" applyNumberFormat="1" applyFont="1" applyFill="1" applyBorder="1" applyAlignment="1">
      <alignment horizontal="center"/>
    </xf>
    <xf numFmtId="2" fontId="4" fillId="5" borderId="8" xfId="0" applyNumberFormat="1" applyFont="1" applyFill="1" applyBorder="1" applyAlignment="1">
      <alignment horizontal="center"/>
    </xf>
    <xf numFmtId="0" fontId="3" fillId="0" borderId="12" xfId="0" applyFont="1" applyFill="1" applyBorder="1"/>
    <xf numFmtId="0" fontId="3" fillId="0" borderId="28" xfId="0" applyFont="1" applyFill="1" applyBorder="1"/>
    <xf numFmtId="0" fontId="3" fillId="0" borderId="6" xfId="0" applyFont="1" applyFill="1" applyBorder="1" applyAlignment="1"/>
    <xf numFmtId="3" fontId="3" fillId="0" borderId="11" xfId="0" applyNumberFormat="1" applyFont="1" applyFill="1" applyBorder="1" applyAlignment="1">
      <alignment horizontal="center"/>
    </xf>
    <xf numFmtId="3" fontId="3" fillId="0" borderId="9" xfId="0" applyNumberFormat="1" applyFont="1" applyFill="1" applyBorder="1" applyAlignment="1">
      <alignment horizontal="center"/>
    </xf>
    <xf numFmtId="2" fontId="3" fillId="0" borderId="58" xfId="0" applyNumberFormat="1" applyFont="1" applyFill="1" applyBorder="1" applyAlignment="1">
      <alignment horizontal="center"/>
    </xf>
    <xf numFmtId="2" fontId="3" fillId="0" borderId="59" xfId="0" applyNumberFormat="1" applyFont="1" applyFill="1" applyBorder="1" applyAlignment="1">
      <alignment horizontal="center"/>
    </xf>
    <xf numFmtId="0" fontId="3" fillId="0" borderId="19" xfId="0" applyFont="1" applyFill="1" applyBorder="1" applyAlignment="1"/>
    <xf numFmtId="2" fontId="3" fillId="0" borderId="14" xfId="0" applyNumberFormat="1" applyFont="1" applyFill="1" applyBorder="1" applyAlignment="1">
      <alignment horizontal="center"/>
    </xf>
    <xf numFmtId="2" fontId="3" fillId="0" borderId="8" xfId="0" applyNumberFormat="1" applyFont="1" applyFill="1" applyBorder="1" applyAlignment="1">
      <alignment horizontal="center"/>
    </xf>
    <xf numFmtId="4" fontId="3" fillId="0" borderId="30" xfId="0" applyNumberFormat="1" applyFont="1" applyFill="1" applyBorder="1" applyAlignment="1">
      <alignment horizontal="center"/>
    </xf>
    <xf numFmtId="4" fontId="3" fillId="0" borderId="48" xfId="0" applyNumberFormat="1" applyFont="1" applyFill="1" applyBorder="1" applyAlignment="1">
      <alignment horizontal="center"/>
    </xf>
    <xf numFmtId="169" fontId="6" fillId="0" borderId="0" xfId="0" applyNumberFormat="1" applyFont="1"/>
    <xf numFmtId="164" fontId="6" fillId="0" borderId="0" xfId="0" applyNumberFormat="1" applyFont="1" applyFill="1"/>
    <xf numFmtId="2" fontId="6" fillId="0" borderId="1" xfId="0" applyNumberFormat="1" applyFont="1" applyBorder="1"/>
    <xf numFmtId="164" fontId="7" fillId="4" borderId="0" xfId="0" applyNumberFormat="1" applyFont="1" applyFill="1" applyAlignment="1"/>
    <xf numFmtId="43" fontId="7" fillId="4" borderId="0" xfId="0" applyNumberFormat="1" applyFont="1" applyFill="1" applyAlignment="1"/>
    <xf numFmtId="10" fontId="7" fillId="4" borderId="0" xfId="0" applyNumberFormat="1" applyFont="1" applyFill="1"/>
    <xf numFmtId="164" fontId="7" fillId="4" borderId="0" xfId="1" applyNumberFormat="1" applyFont="1" applyFill="1"/>
    <xf numFmtId="2" fontId="3" fillId="4" borderId="23" xfId="0" applyNumberFormat="1" applyFont="1" applyFill="1" applyBorder="1"/>
    <xf numFmtId="2" fontId="5" fillId="4" borderId="46" xfId="0" applyNumberFormat="1" applyFont="1" applyFill="1" applyBorder="1"/>
    <xf numFmtId="2" fontId="3" fillId="4" borderId="54" xfId="0" applyNumberFormat="1" applyFont="1" applyFill="1" applyBorder="1"/>
    <xf numFmtId="0" fontId="0" fillId="0" borderId="7" xfId="0" applyBorder="1" applyAlignment="1">
      <alignment horizontal="center"/>
    </xf>
    <xf numFmtId="2" fontId="4" fillId="5" borderId="9" xfId="0" applyNumberFormat="1" applyFont="1" applyFill="1" applyBorder="1"/>
    <xf numFmtId="0" fontId="0" fillId="0" borderId="63" xfId="0" applyBorder="1" applyAlignment="1">
      <alignment horizontal="center"/>
    </xf>
    <xf numFmtId="2" fontId="4" fillId="5" borderId="11" xfId="0" applyNumberFormat="1" applyFont="1" applyFill="1" applyBorder="1"/>
    <xf numFmtId="0" fontId="5" fillId="0" borderId="0" xfId="0" applyFont="1" applyFill="1" applyAlignment="1"/>
    <xf numFmtId="0" fontId="8" fillId="0" borderId="0" xfId="0" applyFont="1" applyFill="1"/>
    <xf numFmtId="10" fontId="0" fillId="0" borderId="0" xfId="2" applyNumberFormat="1" applyFont="1" applyFill="1"/>
    <xf numFmtId="9" fontId="0" fillId="0" borderId="0" xfId="2" applyFont="1" applyFill="1"/>
    <xf numFmtId="0" fontId="8" fillId="6" borderId="0" xfId="0" applyFont="1" applyFill="1"/>
    <xf numFmtId="9" fontId="8" fillId="6" borderId="0" xfId="0" applyNumberFormat="1" applyFont="1" applyFill="1"/>
    <xf numFmtId="10" fontId="8" fillId="6" borderId="0" xfId="0" applyNumberFormat="1" applyFont="1" applyFill="1"/>
    <xf numFmtId="164" fontId="8" fillId="6" borderId="0" xfId="1" applyNumberFormat="1" applyFont="1" applyFill="1"/>
    <xf numFmtId="164" fontId="3" fillId="0" borderId="0" xfId="0" applyNumberFormat="1" applyFont="1" applyFill="1"/>
    <xf numFmtId="0" fontId="3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/>
    <xf numFmtId="0" fontId="0" fillId="0" borderId="0" xfId="0" applyAlignment="1">
      <alignment horizontal="left" indent="1"/>
    </xf>
    <xf numFmtId="49" fontId="0" fillId="0" borderId="0" xfId="0" applyNumberFormat="1"/>
    <xf numFmtId="0" fontId="8" fillId="6" borderId="0" xfId="0" applyFont="1" applyFill="1" applyAlignment="1"/>
    <xf numFmtId="0" fontId="7" fillId="4" borderId="0" xfId="0" applyFont="1" applyFill="1" applyAlignment="1"/>
    <xf numFmtId="0" fontId="8" fillId="0" borderId="0" xfId="0" applyFont="1" applyFill="1" applyAlignment="1"/>
    <xf numFmtId="0" fontId="7" fillId="0" borderId="0" xfId="0" applyFont="1" applyFill="1" applyAlignment="1"/>
    <xf numFmtId="0" fontId="0" fillId="0" borderId="0" xfId="0" applyAlignment="1">
      <alignment wrapText="1"/>
    </xf>
    <xf numFmtId="0" fontId="4" fillId="3" borderId="0" xfId="0" applyFont="1" applyFill="1"/>
    <xf numFmtId="170" fontId="0" fillId="0" borderId="0" xfId="0" applyNumberFormat="1" applyFill="1"/>
    <xf numFmtId="2" fontId="0" fillId="0" borderId="15" xfId="0" applyNumberFormat="1" applyFill="1" applyBorder="1"/>
    <xf numFmtId="0" fontId="5" fillId="2" borderId="0" xfId="0" applyFont="1" applyFill="1" applyAlignment="1">
      <alignment horizontal="center"/>
    </xf>
    <xf numFmtId="0" fontId="4" fillId="4" borderId="60" xfId="0" applyFont="1" applyFill="1" applyBorder="1" applyAlignment="1">
      <alignment horizontal="center"/>
    </xf>
    <xf numFmtId="0" fontId="4" fillId="4" borderId="61" xfId="0" applyFont="1" applyFill="1" applyBorder="1" applyAlignment="1">
      <alignment horizontal="center"/>
    </xf>
    <xf numFmtId="0" fontId="4" fillId="4" borderId="62" xfId="0" applyFont="1" applyFill="1" applyBorder="1" applyAlignment="1">
      <alignment horizontal="center"/>
    </xf>
    <xf numFmtId="43" fontId="0" fillId="0" borderId="0" xfId="0" applyNumberFormat="1" applyFill="1" applyAlignment="1">
      <alignment horizontal="center"/>
    </xf>
    <xf numFmtId="10" fontId="0" fillId="0" borderId="0" xfId="0" applyNumberForma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4" fillId="5" borderId="0" xfId="0" applyFont="1" applyFill="1" applyAlignment="1">
      <alignment horizontal="center"/>
    </xf>
    <xf numFmtId="0" fontId="3" fillId="4" borderId="0" xfId="0" applyFont="1" applyFill="1" applyAlignment="1">
      <alignment horizontal="left"/>
    </xf>
    <xf numFmtId="167" fontId="3" fillId="0" borderId="0" xfId="0" applyNumberFormat="1" applyFont="1" applyFill="1" applyAlignment="1">
      <alignment horizontal="left"/>
    </xf>
    <xf numFmtId="0" fontId="4" fillId="7" borderId="0" xfId="0" applyFont="1" applyFill="1" applyAlignment="1">
      <alignment horizontal="center"/>
    </xf>
    <xf numFmtId="0" fontId="3" fillId="6" borderId="0" xfId="0" applyFont="1" applyFill="1" applyAlignment="1">
      <alignment horizontal="center"/>
    </xf>
    <xf numFmtId="0" fontId="4" fillId="3" borderId="60" xfId="0" applyFont="1" applyFill="1" applyBorder="1" applyAlignment="1">
      <alignment horizontal="center"/>
    </xf>
    <xf numFmtId="0" fontId="4" fillId="3" borderId="61" xfId="0" applyFont="1" applyFill="1" applyBorder="1" applyAlignment="1">
      <alignment horizontal="center"/>
    </xf>
    <xf numFmtId="0" fontId="4" fillId="3" borderId="62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50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0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3">
    <cellStyle name="Ezres" xfId="1" builtinId="3"/>
    <cellStyle name="Normál" xfId="0" builtinId="0"/>
    <cellStyle name="Százalék" xfId="2" builtinId="5"/>
  </cellStyles>
  <dxfs count="0"/>
  <tableStyles count="0" defaultTableStyle="TableStyleMedium9" defaultPivotStyle="PivotStyleLight16"/>
  <colors>
    <mruColors>
      <color rgb="FF7A93C5"/>
      <color rgb="FF512383"/>
      <color rgb="FF94C11C"/>
      <color rgb="FFE4240E"/>
      <color rgb="FFFFD300"/>
      <color rgb="FF81CAC9"/>
      <color rgb="FF7C003D"/>
      <color rgb="FFFFFFCC"/>
      <color rgb="FF00ADDA"/>
      <color rgb="FFFFCC66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tx>
        <c:rich>
          <a:bodyPr/>
          <a:lstStyle/>
          <a:p>
            <a:pPr>
              <a:defRPr/>
            </a:pPr>
            <a:r>
              <a:rPr lang="hu-HU"/>
              <a:t>Paks 2 által termelt áram szerkezete 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6.9631537039948871E-2"/>
          <c:y val="9.0110107994156627E-2"/>
          <c:w val="0.80121460378482967"/>
          <c:h val="0.88424084966436689"/>
        </c:manualLayout>
      </c:layout>
      <c:barChart>
        <c:barDir val="col"/>
        <c:grouping val="stacked"/>
        <c:ser>
          <c:idx val="0"/>
          <c:order val="0"/>
          <c:tx>
            <c:strRef>
              <c:f>'O&amp;M, F, egyéb'!$C$25</c:f>
              <c:strCache>
                <c:ptCount val="1"/>
                <c:pt idx="0">
                  <c:v>Orosz hitel</c:v>
                </c:pt>
              </c:strCache>
            </c:strRef>
          </c:tx>
          <c:spPr>
            <a:solidFill>
              <a:srgbClr val="512383"/>
            </a:solidFill>
          </c:spPr>
          <c:dLbls>
            <c:txPr>
              <a:bodyPr/>
              <a:lstStyle/>
              <a:p>
                <a:pPr algn="ctr">
                  <a:defRPr lang="hu-HU"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Val val="1"/>
          </c:dLbls>
          <c:cat>
            <c:strRef>
              <c:f>'O&amp;M, F, egyéb'!$D$24</c:f>
              <c:strCache>
                <c:ptCount val="1"/>
                <c:pt idx="0">
                  <c:v>Ft/kWh</c:v>
                </c:pt>
              </c:strCache>
            </c:strRef>
          </c:cat>
          <c:val>
            <c:numRef>
              <c:f>'O&amp;M, F, egyéb'!$D$25</c:f>
              <c:numCache>
                <c:formatCode>0.00</c:formatCode>
                <c:ptCount val="1"/>
                <c:pt idx="0">
                  <c:v>16.036170512569949</c:v>
                </c:pt>
              </c:numCache>
            </c:numRef>
          </c:val>
        </c:ser>
        <c:ser>
          <c:idx val="5"/>
          <c:order val="1"/>
          <c:tx>
            <c:strRef>
              <c:f>'O&amp;M, F, egyéb'!$C$26</c:f>
              <c:strCache>
                <c:ptCount val="1"/>
                <c:pt idx="0">
                  <c:v>+20% önrész</c:v>
                </c:pt>
              </c:strCache>
            </c:strRef>
          </c:tx>
          <c:spPr>
            <a:solidFill>
              <a:srgbClr val="7A93C5"/>
            </a:solidFill>
          </c:spPr>
          <c:dLbls>
            <c:txPr>
              <a:bodyPr/>
              <a:lstStyle/>
              <a:p>
                <a:pPr algn="ctr">
                  <a:defRPr lang="hu-HU"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Val val="1"/>
          </c:dLbls>
          <c:val>
            <c:numRef>
              <c:f>'O&amp;M, F, egyéb'!$D$26</c:f>
              <c:numCache>
                <c:formatCode>0.00</c:formatCode>
                <c:ptCount val="1"/>
                <c:pt idx="0">
                  <c:v>5.660849627885149</c:v>
                </c:pt>
              </c:numCache>
            </c:numRef>
          </c:val>
        </c:ser>
        <c:ser>
          <c:idx val="1"/>
          <c:order val="2"/>
          <c:tx>
            <c:strRef>
              <c:f>'O&amp;M, F, egyéb'!$C$27</c:f>
              <c:strCache>
                <c:ptCount val="1"/>
                <c:pt idx="0">
                  <c:v>O&amp;M</c:v>
                </c:pt>
              </c:strCache>
            </c:strRef>
          </c:tx>
          <c:spPr>
            <a:solidFill>
              <a:srgbClr val="FFD300"/>
            </a:solidFill>
          </c:spPr>
          <c:dLbls>
            <c:txPr>
              <a:bodyPr/>
              <a:lstStyle/>
              <a:p>
                <a:pPr algn="ctr">
                  <a:defRPr lang="hu-HU"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Val val="1"/>
          </c:dLbls>
          <c:cat>
            <c:strRef>
              <c:f>'O&amp;M, F, egyéb'!$D$24</c:f>
              <c:strCache>
                <c:ptCount val="1"/>
                <c:pt idx="0">
                  <c:v>Ft/kWh</c:v>
                </c:pt>
              </c:strCache>
            </c:strRef>
          </c:cat>
          <c:val>
            <c:numRef>
              <c:f>'O&amp;M, F, egyéb'!$D$27</c:f>
              <c:numCache>
                <c:formatCode>0.00</c:formatCode>
                <c:ptCount val="1"/>
                <c:pt idx="0">
                  <c:v>6.2139843033248292</c:v>
                </c:pt>
              </c:numCache>
            </c:numRef>
          </c:val>
        </c:ser>
        <c:ser>
          <c:idx val="2"/>
          <c:order val="3"/>
          <c:tx>
            <c:strRef>
              <c:f>'O&amp;M, F, egyéb'!$C$28</c:f>
              <c:strCache>
                <c:ptCount val="1"/>
                <c:pt idx="0">
                  <c:v>Üzemanyag</c:v>
                </c:pt>
              </c:strCache>
            </c:strRef>
          </c:tx>
          <c:spPr>
            <a:solidFill>
              <a:srgbClr val="E4240E"/>
            </a:solidFill>
          </c:spPr>
          <c:dLbls>
            <c:txPr>
              <a:bodyPr/>
              <a:lstStyle/>
              <a:p>
                <a:pPr algn="ctr">
                  <a:defRPr lang="hu-HU"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Val val="1"/>
          </c:dLbls>
          <c:cat>
            <c:strRef>
              <c:f>'O&amp;M, F, egyéb'!$D$24</c:f>
              <c:strCache>
                <c:ptCount val="1"/>
                <c:pt idx="0">
                  <c:v>Ft/kWh</c:v>
                </c:pt>
              </c:strCache>
            </c:strRef>
          </c:cat>
          <c:val>
            <c:numRef>
              <c:f>'O&amp;M, F, egyéb'!$D$28</c:f>
              <c:numCache>
                <c:formatCode>0.00</c:formatCode>
                <c:ptCount val="1"/>
                <c:pt idx="0">
                  <c:v>2.0807136799605725</c:v>
                </c:pt>
              </c:numCache>
            </c:numRef>
          </c:val>
        </c:ser>
        <c:ser>
          <c:idx val="3"/>
          <c:order val="4"/>
          <c:tx>
            <c:strRef>
              <c:f>'O&amp;M, F, egyéb'!$C$29</c:f>
              <c:strCache>
                <c:ptCount val="1"/>
                <c:pt idx="0">
                  <c:v>Hulladék</c:v>
                </c:pt>
              </c:strCache>
            </c:strRef>
          </c:tx>
          <c:spPr>
            <a:solidFill>
              <a:srgbClr val="94C11C"/>
            </a:solidFill>
          </c:spPr>
          <c:dLbls>
            <c:txPr>
              <a:bodyPr/>
              <a:lstStyle/>
              <a:p>
                <a:pPr algn="ctr">
                  <a:defRPr lang="hu-HU"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Val val="1"/>
          </c:dLbls>
          <c:cat>
            <c:strRef>
              <c:f>'O&amp;M, F, egyéb'!$D$24</c:f>
              <c:strCache>
                <c:ptCount val="1"/>
                <c:pt idx="0">
                  <c:v>Ft/kWh</c:v>
                </c:pt>
              </c:strCache>
            </c:strRef>
          </c:cat>
          <c:val>
            <c:numRef>
              <c:f>'O&amp;M, F, egyéb'!$D$29</c:f>
              <c:numCache>
                <c:formatCode>0.00</c:formatCode>
                <c:ptCount val="1"/>
                <c:pt idx="0">
                  <c:v>0.85379910899278189</c:v>
                </c:pt>
              </c:numCache>
            </c:numRef>
          </c:val>
        </c:ser>
        <c:ser>
          <c:idx val="4"/>
          <c:order val="5"/>
          <c:tx>
            <c:strRef>
              <c:f>'O&amp;M, F, egyéb'!$C$30</c:f>
              <c:strCache>
                <c:ptCount val="1"/>
                <c:pt idx="0">
                  <c:v>Leszerelés</c:v>
                </c:pt>
              </c:strCache>
            </c:strRef>
          </c:tx>
          <c:spPr>
            <a:solidFill>
              <a:srgbClr val="7C003D"/>
            </a:solidFill>
          </c:spPr>
          <c:dLbls>
            <c:dLbl>
              <c:idx val="0"/>
              <c:layout>
                <c:manualLayout>
                  <c:x val="0.12437027928052719"/>
                  <c:y val="-6.2431945492487468E-3"/>
                </c:manualLayout>
              </c:layout>
              <c:showVal val="1"/>
            </c:dLbl>
            <c:txPr>
              <a:bodyPr/>
              <a:lstStyle/>
              <a:p>
                <a:pPr>
                  <a:defRPr sz="1200" b="1"/>
                </a:pPr>
                <a:endParaRPr lang="hu-HU"/>
              </a:p>
            </c:txPr>
            <c:showVal val="1"/>
          </c:dLbls>
          <c:cat>
            <c:strRef>
              <c:f>'O&amp;M, F, egyéb'!$D$24</c:f>
              <c:strCache>
                <c:ptCount val="1"/>
                <c:pt idx="0">
                  <c:v>Ft/kWh</c:v>
                </c:pt>
              </c:strCache>
            </c:strRef>
          </c:cat>
          <c:val>
            <c:numRef>
              <c:f>'O&amp;M, F, egyéb'!$D$30</c:f>
              <c:numCache>
                <c:formatCode>0.00</c:formatCode>
                <c:ptCount val="1"/>
                <c:pt idx="0">
                  <c:v>0.41274321164825323</c:v>
                </c:pt>
              </c:numCache>
            </c:numRef>
          </c:val>
        </c:ser>
        <c:gapWidth val="300"/>
        <c:overlap val="100"/>
        <c:serLines/>
        <c:axId val="74278784"/>
        <c:axId val="74280320"/>
      </c:barChart>
      <c:catAx>
        <c:axId val="74278784"/>
        <c:scaling>
          <c:orientation val="minMax"/>
        </c:scaling>
        <c:delete val="1"/>
        <c:axPos val="b"/>
        <c:majorTickMark val="none"/>
        <c:tickLblPos val="none"/>
        <c:crossAx val="74280320"/>
        <c:crosses val="autoZero"/>
        <c:auto val="1"/>
        <c:lblAlgn val="ctr"/>
        <c:lblOffset val="100"/>
      </c:catAx>
      <c:valAx>
        <c:axId val="74280320"/>
        <c:scaling>
          <c:orientation val="minMax"/>
        </c:scaling>
        <c:axPos val="l"/>
        <c:majorGridlines/>
        <c:title>
          <c:tx>
            <c:rich>
              <a:bodyPr rot="0" vert="horz"/>
              <a:lstStyle/>
              <a:p>
                <a:pPr>
                  <a:defRPr sz="1200"/>
                </a:pPr>
                <a:r>
                  <a:rPr lang="hu-HU" sz="1200"/>
                  <a:t>Ft/kWh</a:t>
                </a:r>
              </a:p>
            </c:rich>
          </c:tx>
          <c:layout>
            <c:manualLayout>
              <c:xMode val="edge"/>
              <c:yMode val="edge"/>
              <c:x val="3.5534365508722091E-2"/>
              <c:y val="2.2733749054713256E-2"/>
            </c:manualLayout>
          </c:layout>
        </c:title>
        <c:numFmt formatCode="0.00" sourceLinked="1"/>
        <c:tickLblPos val="nextTo"/>
        <c:txPr>
          <a:bodyPr/>
          <a:lstStyle/>
          <a:p>
            <a:pPr>
              <a:defRPr sz="1200" b="1"/>
            </a:pPr>
            <a:endParaRPr lang="hu-HU"/>
          </a:p>
        </c:txPr>
        <c:crossAx val="74278784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sz="1200" b="1"/>
          </a:pPr>
          <a:endParaRPr lang="hu-HU"/>
        </a:p>
      </c:txPr>
    </c:legend>
    <c:plotVisOnly val="1"/>
  </c:chart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6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2413" cy="6102645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0.77592</cdr:x>
      <cdr:y>0.89111</cdr:y>
    </cdr:from>
    <cdr:to>
      <cdr:x>0.98913</cdr:x>
      <cdr:y>0.98788</cdr:y>
    </cdr:to>
    <cdr:pic>
      <cdr:nvPicPr>
        <cdr:cNvPr id="3" name="Picture 1" descr="http://energiaklub.hu/img/EK_email_logo.jpg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7210204" y="5438111"/>
          <a:ext cx="1981200" cy="590550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0"/>
  <sheetViews>
    <sheetView tabSelected="1" topLeftCell="A2" zoomScale="85" zoomScaleNormal="85" workbookViewId="0">
      <selection activeCell="B3" sqref="B3"/>
    </sheetView>
  </sheetViews>
  <sheetFormatPr defaultRowHeight="15"/>
  <cols>
    <col min="2" max="2" width="151" customWidth="1"/>
  </cols>
  <sheetData>
    <row r="2" spans="1:2">
      <c r="B2" s="169" t="s">
        <v>87</v>
      </c>
    </row>
    <row r="3" spans="1:2">
      <c r="B3" s="170"/>
    </row>
    <row r="4" spans="1:2">
      <c r="A4" s="168">
        <v>1</v>
      </c>
      <c r="B4" s="176" t="s">
        <v>97</v>
      </c>
    </row>
    <row r="5" spans="1:2" ht="30">
      <c r="A5" s="168">
        <v>2</v>
      </c>
      <c r="B5" s="176" t="s">
        <v>98</v>
      </c>
    </row>
    <row r="6" spans="1:2">
      <c r="A6" s="168">
        <v>3</v>
      </c>
      <c r="B6" s="176" t="s">
        <v>99</v>
      </c>
    </row>
    <row r="7" spans="1:2" ht="30">
      <c r="A7" s="168">
        <v>4</v>
      </c>
      <c r="B7" s="176" t="s">
        <v>100</v>
      </c>
    </row>
    <row r="8" spans="1:2" ht="45">
      <c r="A8" s="168">
        <v>5</v>
      </c>
      <c r="B8" s="176" t="s">
        <v>101</v>
      </c>
    </row>
    <row r="9" spans="1:2">
      <c r="A9" s="168">
        <v>6</v>
      </c>
      <c r="B9" s="176" t="s">
        <v>102</v>
      </c>
    </row>
    <row r="10" spans="1:2" ht="30">
      <c r="A10" s="168">
        <v>7</v>
      </c>
      <c r="B10" s="176" t="s">
        <v>103</v>
      </c>
    </row>
    <row r="11" spans="1:2" ht="30">
      <c r="A11" s="168">
        <v>8</v>
      </c>
      <c r="B11" s="176" t="s">
        <v>104</v>
      </c>
    </row>
    <row r="12" spans="1:2" ht="30">
      <c r="A12" s="168">
        <v>9</v>
      </c>
      <c r="B12" s="176" t="s">
        <v>105</v>
      </c>
    </row>
    <row r="13" spans="1:2">
      <c r="A13" s="168">
        <v>10</v>
      </c>
      <c r="B13" s="176" t="s">
        <v>106</v>
      </c>
    </row>
    <row r="14" spans="1:2">
      <c r="A14" s="168">
        <v>11</v>
      </c>
      <c r="B14" s="176" t="s">
        <v>107</v>
      </c>
    </row>
    <row r="15" spans="1:2" ht="45">
      <c r="A15" s="168">
        <v>12</v>
      </c>
      <c r="B15" s="176" t="s">
        <v>108</v>
      </c>
    </row>
    <row r="16" spans="1:2">
      <c r="A16" s="168">
        <v>13</v>
      </c>
      <c r="B16" s="176" t="s">
        <v>109</v>
      </c>
    </row>
    <row r="17" spans="1:11" ht="30">
      <c r="A17" s="168">
        <v>14</v>
      </c>
      <c r="B17" s="176" t="s">
        <v>86</v>
      </c>
    </row>
    <row r="18" spans="1:11" ht="30">
      <c r="A18" s="168">
        <v>15</v>
      </c>
      <c r="B18" s="176" t="s">
        <v>110</v>
      </c>
    </row>
    <row r="19" spans="1:11">
      <c r="A19" s="168">
        <v>16</v>
      </c>
      <c r="B19" s="176" t="s">
        <v>88</v>
      </c>
    </row>
    <row r="21" spans="1:11">
      <c r="B21" s="172" t="s">
        <v>90</v>
      </c>
      <c r="C21" s="174"/>
      <c r="D21" s="174"/>
      <c r="E21" s="174"/>
      <c r="F21" s="174"/>
      <c r="G21" s="174"/>
      <c r="H21" s="174"/>
      <c r="I21" s="174"/>
      <c r="J21" s="174"/>
      <c r="K21" s="12"/>
    </row>
    <row r="22" spans="1:11">
      <c r="B22" s="173" t="s">
        <v>89</v>
      </c>
      <c r="C22" s="175"/>
      <c r="D22" s="175"/>
      <c r="E22" s="175"/>
      <c r="F22" s="175"/>
      <c r="G22" s="175"/>
      <c r="H22" s="175"/>
      <c r="I22" s="175"/>
      <c r="J22" s="175"/>
      <c r="K22" s="175"/>
    </row>
    <row r="24" spans="1:11">
      <c r="B24" s="177" t="s">
        <v>93</v>
      </c>
    </row>
    <row r="25" spans="1:11" ht="60">
      <c r="B25" s="176" t="s">
        <v>96</v>
      </c>
    </row>
    <row r="27" spans="1:11">
      <c r="B27" s="169" t="s">
        <v>91</v>
      </c>
    </row>
    <row r="28" spans="1:11">
      <c r="B28" t="s">
        <v>92</v>
      </c>
    </row>
    <row r="29" spans="1:11">
      <c r="B29" t="s">
        <v>95</v>
      </c>
    </row>
    <row r="30" spans="1:11">
      <c r="B30" t="s">
        <v>111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32"/>
  <sheetViews>
    <sheetView topLeftCell="A2" zoomScale="85" zoomScaleNormal="85" workbookViewId="0">
      <selection activeCell="E19" sqref="E19"/>
    </sheetView>
  </sheetViews>
  <sheetFormatPr defaultRowHeight="15"/>
  <cols>
    <col min="1" max="1" width="44.28515625" customWidth="1"/>
    <col min="2" max="2" width="22.42578125" bestFit="1" customWidth="1"/>
    <col min="3" max="3" width="16.42578125" bestFit="1" customWidth="1"/>
    <col min="4" max="4" width="38.42578125" customWidth="1"/>
    <col min="5" max="5" width="29.85546875" bestFit="1" customWidth="1"/>
    <col min="6" max="6" width="23.7109375" bestFit="1" customWidth="1"/>
    <col min="7" max="7" width="20.42578125" bestFit="1" customWidth="1"/>
    <col min="8" max="8" width="18.140625" bestFit="1" customWidth="1"/>
    <col min="9" max="9" width="20.7109375" bestFit="1" customWidth="1"/>
    <col min="10" max="10" width="19.85546875" bestFit="1" customWidth="1"/>
    <col min="11" max="11" width="21.28515625" bestFit="1" customWidth="1"/>
    <col min="12" max="16" width="9.140625" customWidth="1"/>
  </cols>
  <sheetData>
    <row r="1" spans="1:15">
      <c r="H1" s="12"/>
    </row>
    <row r="2" spans="1:15">
      <c r="A2" s="190" t="s">
        <v>26</v>
      </c>
      <c r="B2" s="190"/>
      <c r="D2" s="186" t="s">
        <v>41</v>
      </c>
      <c r="E2" s="186"/>
      <c r="H2" s="123"/>
    </row>
    <row r="3" spans="1:15">
      <c r="H3" s="12"/>
    </row>
    <row r="4" spans="1:15">
      <c r="A4" t="s">
        <v>62</v>
      </c>
      <c r="B4" s="38" t="s">
        <v>84</v>
      </c>
      <c r="D4" t="s">
        <v>42</v>
      </c>
      <c r="E4" s="164">
        <v>0.2</v>
      </c>
      <c r="H4" s="12"/>
    </row>
    <row r="5" spans="1:15">
      <c r="A5" t="s">
        <v>33</v>
      </c>
      <c r="B5" s="162">
        <v>1199</v>
      </c>
      <c r="D5" t="s">
        <v>46</v>
      </c>
      <c r="E5" s="164">
        <v>0.5</v>
      </c>
      <c r="H5" s="12"/>
      <c r="O5" s="11"/>
    </row>
    <row r="6" spans="1:15">
      <c r="A6" t="s">
        <v>39</v>
      </c>
      <c r="B6" s="162">
        <v>1114</v>
      </c>
      <c r="C6" s="12"/>
      <c r="D6" t="s">
        <v>31</v>
      </c>
      <c r="E6" s="150">
        <f>(B28+B17)*E4*E5</f>
        <v>625000000</v>
      </c>
      <c r="H6" s="12"/>
    </row>
    <row r="7" spans="1:15">
      <c r="A7" t="s">
        <v>0</v>
      </c>
      <c r="B7" s="162">
        <v>1</v>
      </c>
      <c r="C7" s="123"/>
      <c r="D7" t="s">
        <v>6</v>
      </c>
      <c r="E7" s="164">
        <v>0.1</v>
      </c>
      <c r="H7" s="123"/>
    </row>
    <row r="8" spans="1:15">
      <c r="A8" t="s">
        <v>13</v>
      </c>
      <c r="B8" s="163">
        <v>0.9</v>
      </c>
      <c r="C8" s="12"/>
      <c r="D8" t="s">
        <v>14</v>
      </c>
      <c r="E8" s="162">
        <v>20</v>
      </c>
      <c r="H8" s="12"/>
    </row>
    <row r="9" spans="1:15">
      <c r="A9" t="s">
        <v>59</v>
      </c>
      <c r="B9" s="147">
        <f>B6*B7*365*24*B8*1000</f>
        <v>8782776000</v>
      </c>
      <c r="C9" s="12"/>
      <c r="H9" s="12"/>
    </row>
    <row r="10" spans="1:15">
      <c r="A10" t="s">
        <v>79</v>
      </c>
      <c r="B10" s="148">
        <f>'O&amp;M, F, egyéb'!I16</f>
        <v>9.568435885155063</v>
      </c>
      <c r="C10" s="12"/>
      <c r="D10" s="186" t="s">
        <v>66</v>
      </c>
      <c r="E10" s="186"/>
      <c r="H10" s="12"/>
      <c r="O10" s="11"/>
    </row>
    <row r="11" spans="1:15">
      <c r="A11" t="s">
        <v>47</v>
      </c>
      <c r="B11" s="162">
        <v>60</v>
      </c>
      <c r="C11" s="12"/>
      <c r="H11" s="12"/>
    </row>
    <row r="12" spans="1:15">
      <c r="A12" t="s">
        <v>1</v>
      </c>
      <c r="B12" s="162">
        <v>310</v>
      </c>
      <c r="C12" s="123"/>
      <c r="D12" t="s">
        <v>31</v>
      </c>
      <c r="E12" s="165">
        <v>500000000</v>
      </c>
      <c r="H12" s="123"/>
      <c r="L12" s="18"/>
      <c r="M12" s="18"/>
    </row>
    <row r="13" spans="1:15">
      <c r="C13" s="12"/>
      <c r="D13" t="s">
        <v>6</v>
      </c>
      <c r="E13" s="164">
        <v>0.1</v>
      </c>
      <c r="H13" s="12"/>
      <c r="L13" s="18"/>
      <c r="M13" s="18"/>
    </row>
    <row r="14" spans="1:15">
      <c r="A14" s="190" t="s">
        <v>7</v>
      </c>
      <c r="B14" s="190"/>
      <c r="C14" s="12"/>
      <c r="D14" t="s">
        <v>14</v>
      </c>
      <c r="E14" s="162">
        <v>20</v>
      </c>
      <c r="L14" s="18"/>
      <c r="M14" s="18"/>
    </row>
    <row r="15" spans="1:15">
      <c r="A15" s="12"/>
      <c r="B15" s="12"/>
      <c r="C15" s="12"/>
      <c r="E15" s="159"/>
      <c r="L15" s="18"/>
      <c r="M15" s="18"/>
    </row>
    <row r="16" spans="1:15" ht="15.75" thickBot="1">
      <c r="A16" t="s">
        <v>80</v>
      </c>
      <c r="B16" s="165">
        <v>5000000000</v>
      </c>
      <c r="C16" s="12"/>
      <c r="L16" s="18"/>
      <c r="M16" s="18"/>
    </row>
    <row r="17" spans="1:13" ht="15.75" thickBot="1">
      <c r="A17" t="s">
        <v>30</v>
      </c>
      <c r="B17" s="147">
        <f>B16*B7</f>
        <v>5000000000</v>
      </c>
      <c r="C17" s="12"/>
      <c r="D17" s="181" t="s">
        <v>82</v>
      </c>
      <c r="E17" s="182"/>
      <c r="F17" s="183"/>
      <c r="L17" s="18"/>
      <c r="M17" s="18"/>
    </row>
    <row r="18" spans="1:13">
      <c r="A18" s="12" t="s">
        <v>15</v>
      </c>
      <c r="B18" s="164">
        <v>3.95E-2</v>
      </c>
      <c r="C18" s="123"/>
      <c r="D18" s="124"/>
      <c r="E18" s="125" t="s">
        <v>5</v>
      </c>
      <c r="F18" s="126" t="s">
        <v>29</v>
      </c>
      <c r="L18" s="18"/>
      <c r="M18" s="18"/>
    </row>
    <row r="19" spans="1:13">
      <c r="A19" s="12" t="s">
        <v>16</v>
      </c>
      <c r="B19" s="164">
        <v>4.4999999999999998E-2</v>
      </c>
      <c r="D19" s="132" t="s">
        <v>22</v>
      </c>
      <c r="E19" s="130">
        <f>SUM(B75:C75,F75)</f>
        <v>31.265456025610163</v>
      </c>
      <c r="F19" s="131">
        <f>SUM(B76:C76,F76)</f>
        <v>100.85630976003277</v>
      </c>
      <c r="L19" s="18"/>
      <c r="M19" s="18"/>
    </row>
    <row r="20" spans="1:13" ht="15.75" thickBot="1">
      <c r="A20" s="12" t="s">
        <v>17</v>
      </c>
      <c r="B20" s="164">
        <v>4.8000000000000001E-2</v>
      </c>
      <c r="D20" s="133" t="s">
        <v>21</v>
      </c>
      <c r="E20" s="137">
        <f>SUM(B80:C80)</f>
        <v>21.697020140455098</v>
      </c>
      <c r="F20" s="138">
        <f>SUM(B81:C81)</f>
        <v>69.990387549855157</v>
      </c>
      <c r="L20" s="18"/>
      <c r="M20" s="18"/>
    </row>
    <row r="21" spans="1:13" ht="15.75" thickTop="1">
      <c r="A21" s="12" t="s">
        <v>44</v>
      </c>
      <c r="B21" s="164">
        <v>4.9500000000000002E-2</v>
      </c>
      <c r="D21" s="127"/>
      <c r="E21" s="128" t="s">
        <v>2</v>
      </c>
      <c r="F21" s="129" t="s">
        <v>3</v>
      </c>
      <c r="L21" s="18"/>
      <c r="M21" s="18"/>
    </row>
    <row r="22" spans="1:13" ht="15.75" thickBot="1">
      <c r="A22" s="12" t="s">
        <v>57</v>
      </c>
      <c r="B22" s="149">
        <f>AVERAGE(B19:B21)</f>
        <v>4.7500000000000007E-2</v>
      </c>
      <c r="D22" s="134" t="s">
        <v>78</v>
      </c>
      <c r="E22" s="135">
        <f>SUM(B85:C85)</f>
        <v>190560067761.10568</v>
      </c>
      <c r="F22" s="136">
        <f>SUM(B86:C86)</f>
        <v>614709896.00356674</v>
      </c>
      <c r="K22" s="18"/>
      <c r="L22" s="18"/>
      <c r="M22" s="18"/>
    </row>
    <row r="23" spans="1:13" ht="15.75" thickBot="1">
      <c r="A23" t="s">
        <v>14</v>
      </c>
      <c r="B23" s="162">
        <v>21</v>
      </c>
      <c r="K23" s="18"/>
      <c r="L23" s="18"/>
      <c r="M23" s="18"/>
    </row>
    <row r="24" spans="1:13" ht="15.75" thickBot="1">
      <c r="A24" t="s">
        <v>35</v>
      </c>
      <c r="B24" s="168">
        <v>2025</v>
      </c>
      <c r="D24" s="192" t="s">
        <v>83</v>
      </c>
      <c r="E24" s="193"/>
      <c r="F24" s="194"/>
      <c r="K24" s="18"/>
      <c r="L24" s="18"/>
      <c r="M24" s="18"/>
    </row>
    <row r="25" spans="1:13">
      <c r="D25" s="127"/>
      <c r="E25" s="128" t="s">
        <v>5</v>
      </c>
      <c r="F25" s="129" t="s">
        <v>29</v>
      </c>
      <c r="K25" s="18"/>
      <c r="L25" s="18"/>
      <c r="M25" s="18"/>
    </row>
    <row r="26" spans="1:13">
      <c r="A26" s="190" t="s">
        <v>32</v>
      </c>
      <c r="B26" s="190"/>
      <c r="D26" s="139" t="s">
        <v>22</v>
      </c>
      <c r="E26" s="140">
        <f>G75</f>
        <v>35.929590023724806</v>
      </c>
      <c r="F26" s="141">
        <f>G76</f>
        <v>115.90190330233807</v>
      </c>
      <c r="K26" s="18"/>
      <c r="L26" s="18"/>
      <c r="M26" s="18"/>
    </row>
    <row r="27" spans="1:13" ht="15.75" thickBot="1">
      <c r="D27" s="133" t="s">
        <v>21</v>
      </c>
      <c r="E27" s="142">
        <f>F80</f>
        <v>26.361154138569745</v>
      </c>
      <c r="F27" s="143">
        <f>F81</f>
        <v>85.035981092160469</v>
      </c>
      <c r="H27" s="12"/>
      <c r="J27" s="22"/>
      <c r="K27" s="18"/>
      <c r="L27" s="18"/>
      <c r="M27" s="18"/>
    </row>
    <row r="28" spans="1:13" ht="15.75" thickTop="1">
      <c r="A28" t="s">
        <v>31</v>
      </c>
      <c r="B28" s="147">
        <f>B17/8*2</f>
        <v>1250000000</v>
      </c>
      <c r="D28" s="127"/>
      <c r="E28" s="128" t="s">
        <v>2</v>
      </c>
      <c r="F28" s="129" t="s">
        <v>3</v>
      </c>
      <c r="H28" s="123"/>
      <c r="J28" s="22"/>
      <c r="K28" s="18"/>
      <c r="L28" s="18"/>
      <c r="M28" s="18"/>
    </row>
    <row r="29" spans="1:13" ht="15.75" thickBot="1">
      <c r="A29" s="12" t="s">
        <v>6</v>
      </c>
      <c r="B29" s="164">
        <v>0.08</v>
      </c>
      <c r="D29" s="134" t="s">
        <v>78</v>
      </c>
      <c r="E29" s="135">
        <f>F85</f>
        <v>231524111900.53104</v>
      </c>
      <c r="F29" s="136">
        <f>F86</f>
        <v>688122161.48640788</v>
      </c>
      <c r="H29" s="12"/>
      <c r="J29" s="22"/>
      <c r="K29" s="18"/>
      <c r="L29" s="18"/>
      <c r="M29" s="18"/>
    </row>
    <row r="30" spans="1:13">
      <c r="A30" t="s">
        <v>43</v>
      </c>
      <c r="B30" s="162">
        <v>20</v>
      </c>
      <c r="H30" s="12"/>
      <c r="J30" s="22"/>
      <c r="K30" s="18"/>
      <c r="L30" s="18"/>
      <c r="M30" s="18"/>
    </row>
    <row r="31" spans="1:13">
      <c r="A31" t="s">
        <v>38</v>
      </c>
      <c r="B31" s="162">
        <v>2022</v>
      </c>
      <c r="H31" s="12"/>
      <c r="J31" s="22"/>
      <c r="K31" s="18"/>
      <c r="L31" s="18"/>
      <c r="M31" s="18"/>
    </row>
    <row r="32" spans="1:13">
      <c r="A32" t="s">
        <v>35</v>
      </c>
      <c r="B32" s="162">
        <v>2025</v>
      </c>
      <c r="H32" s="12"/>
      <c r="J32" s="22"/>
      <c r="K32" s="18"/>
      <c r="L32" s="18"/>
      <c r="M32" s="18"/>
    </row>
    <row r="33" spans="1:15">
      <c r="E33" s="5"/>
      <c r="F33" s="24"/>
      <c r="G33" s="24"/>
      <c r="H33" s="123"/>
      <c r="J33" s="22"/>
      <c r="K33" s="18"/>
      <c r="L33" s="18"/>
      <c r="M33" s="18"/>
    </row>
    <row r="34" spans="1:15">
      <c r="A34" s="190" t="s">
        <v>7</v>
      </c>
      <c r="B34" s="190"/>
      <c r="C34" s="190"/>
      <c r="D34" s="190"/>
      <c r="E34" s="190"/>
      <c r="F34" s="190"/>
      <c r="G34" s="190"/>
      <c r="H34" s="190"/>
      <c r="I34" s="190"/>
      <c r="J34" s="190"/>
      <c r="K34" s="190"/>
      <c r="L34" s="158"/>
      <c r="M34" s="37"/>
      <c r="N34" s="37"/>
    </row>
    <row r="35" spans="1:15">
      <c r="I35" s="5"/>
      <c r="J35" s="5"/>
      <c r="K35" s="5"/>
      <c r="L35" s="5"/>
      <c r="M35" s="5"/>
      <c r="N35" s="5"/>
    </row>
    <row r="36" spans="1:15">
      <c r="A36" s="187" t="s">
        <v>21</v>
      </c>
      <c r="B36" s="187"/>
      <c r="D36" s="191" t="s">
        <v>23</v>
      </c>
      <c r="E36" s="191"/>
      <c r="F36" s="191"/>
      <c r="G36" s="12"/>
      <c r="H36" s="188" t="s">
        <v>48</v>
      </c>
      <c r="I36" s="188"/>
      <c r="J36" s="188"/>
      <c r="K36" s="188"/>
      <c r="L36" s="37"/>
      <c r="M36" s="12"/>
      <c r="N36" s="12"/>
    </row>
    <row r="37" spans="1:15">
      <c r="A37" s="4" t="s">
        <v>5</v>
      </c>
      <c r="B37" s="146">
        <f>J39/B$9</f>
        <v>16.036170512569949</v>
      </c>
      <c r="D37" s="6" t="s">
        <v>27</v>
      </c>
      <c r="E37" s="6" t="s">
        <v>19</v>
      </c>
      <c r="F37" s="6" t="s">
        <v>18</v>
      </c>
      <c r="G37" s="12"/>
      <c r="H37" s="6" t="s">
        <v>3</v>
      </c>
      <c r="I37" s="6"/>
      <c r="J37" s="6" t="s">
        <v>20</v>
      </c>
      <c r="K37" s="6"/>
      <c r="M37" s="7"/>
      <c r="N37" s="13"/>
    </row>
    <row r="38" spans="1:15">
      <c r="A38" t="s">
        <v>29</v>
      </c>
      <c r="B38" s="24">
        <f>B37*1000/B$12</f>
        <v>51.72958229861274</v>
      </c>
      <c r="D38" s="12">
        <v>2016</v>
      </c>
      <c r="E38" s="1">
        <f>B17/9/2</f>
        <v>277777777.77777779</v>
      </c>
      <c r="F38" s="1"/>
      <c r="G38" s="12"/>
      <c r="H38" s="14" t="s">
        <v>24</v>
      </c>
      <c r="I38" s="14" t="s">
        <v>25</v>
      </c>
      <c r="J38" s="6" t="s">
        <v>24</v>
      </c>
      <c r="K38" s="15" t="s">
        <v>25</v>
      </c>
      <c r="M38" s="16"/>
      <c r="N38" s="16"/>
      <c r="O38" s="1"/>
    </row>
    <row r="39" spans="1:15">
      <c r="A39" t="s">
        <v>34</v>
      </c>
      <c r="B39" s="36">
        <f>F47/(B5*1000*B7)</f>
        <v>4966.9439802154229</v>
      </c>
      <c r="C39" s="2"/>
      <c r="D39" s="12">
        <v>2017</v>
      </c>
      <c r="E39" s="1">
        <f>E38</f>
        <v>277777777.77777779</v>
      </c>
      <c r="F39" s="1">
        <f>E38*(1+B$18)</f>
        <v>288750000.00000006</v>
      </c>
      <c r="H39" s="10">
        <f>-PMT(B22,B23,F47)</f>
        <v>454329333.90228087</v>
      </c>
      <c r="I39" s="10">
        <f>H39*B23</f>
        <v>9540916011.9478989</v>
      </c>
      <c r="J39" s="144">
        <f>H39*B$12</f>
        <v>140842093509.70706</v>
      </c>
      <c r="K39" s="144">
        <f>I39*B$12</f>
        <v>2957683963703.8486</v>
      </c>
      <c r="M39" s="16"/>
      <c r="N39" s="16"/>
      <c r="O39" s="16"/>
    </row>
    <row r="40" spans="1:15">
      <c r="A40" t="s">
        <v>36</v>
      </c>
      <c r="B40" s="1">
        <f>F47</f>
        <v>5955365832.2782917</v>
      </c>
      <c r="D40" s="12">
        <v>2018</v>
      </c>
      <c r="E40" s="1">
        <f>E39</f>
        <v>277777777.77777779</v>
      </c>
      <c r="F40" s="1">
        <f t="shared" ref="F40:F47" si="0">SUM(E39:F39)*(1+B$18)</f>
        <v>588905625.00000024</v>
      </c>
      <c r="H40" s="12"/>
      <c r="I40" s="10"/>
      <c r="J40" s="10"/>
      <c r="K40" s="11"/>
      <c r="L40" s="11"/>
      <c r="N40" s="15"/>
    </row>
    <row r="41" spans="1:15">
      <c r="C41" s="2"/>
      <c r="D41" s="12">
        <v>2019</v>
      </c>
      <c r="E41" s="1">
        <f>E40*2.75</f>
        <v>763888888.88888896</v>
      </c>
      <c r="F41" s="1">
        <f t="shared" si="0"/>
        <v>900917397.18750036</v>
      </c>
      <c r="H41" s="12"/>
      <c r="I41" s="10"/>
      <c r="J41" s="10"/>
      <c r="K41" s="17"/>
      <c r="L41" s="17"/>
      <c r="N41" s="15"/>
    </row>
    <row r="42" spans="1:15">
      <c r="D42" s="12">
        <v>2020</v>
      </c>
      <c r="E42" s="1">
        <f>E41</f>
        <v>763888888.88888896</v>
      </c>
      <c r="F42" s="1">
        <f t="shared" si="0"/>
        <v>1730566134.3764069</v>
      </c>
      <c r="M42" s="15"/>
      <c r="N42" s="15"/>
    </row>
    <row r="43" spans="1:15">
      <c r="C43" s="2"/>
      <c r="D43" s="12">
        <v>2021</v>
      </c>
      <c r="E43" s="1">
        <f>E42</f>
        <v>763888888.88888896</v>
      </c>
      <c r="F43" s="1">
        <f t="shared" si="0"/>
        <v>2592985996.6842756</v>
      </c>
      <c r="M43" s="15"/>
      <c r="N43" s="15"/>
    </row>
    <row r="44" spans="1:15">
      <c r="D44" s="12">
        <v>2022</v>
      </c>
      <c r="E44" s="1">
        <f>E43</f>
        <v>763888888.88888896</v>
      </c>
      <c r="F44" s="1">
        <f t="shared" si="0"/>
        <v>3489471443.5533047</v>
      </c>
      <c r="M44" s="15"/>
      <c r="N44" s="15"/>
    </row>
    <row r="45" spans="1:15">
      <c r="C45" s="2"/>
      <c r="D45" s="12">
        <v>2023</v>
      </c>
      <c r="E45" s="1">
        <f>E38*2</f>
        <v>555555555.55555558</v>
      </c>
      <c r="F45" s="1">
        <f t="shared" si="0"/>
        <v>4421368065.5736609</v>
      </c>
      <c r="H45" s="12"/>
      <c r="J45" s="8"/>
      <c r="K45" s="3"/>
      <c r="M45" s="15"/>
      <c r="N45" s="15"/>
    </row>
    <row r="46" spans="1:15">
      <c r="D46" s="12">
        <v>2024</v>
      </c>
      <c r="E46" s="1">
        <f>E45</f>
        <v>555555555.55555558</v>
      </c>
      <c r="F46" s="1">
        <f t="shared" si="0"/>
        <v>5173512104.1638203</v>
      </c>
      <c r="H46" s="12"/>
      <c r="I46" s="17"/>
      <c r="J46" s="8"/>
      <c r="K46" s="3"/>
      <c r="L46" s="3"/>
      <c r="M46" s="15"/>
      <c r="N46" s="15"/>
    </row>
    <row r="47" spans="1:15">
      <c r="D47" s="167" t="s">
        <v>85</v>
      </c>
      <c r="E47" s="166">
        <f>SUM(E38:E46)</f>
        <v>5000000000</v>
      </c>
      <c r="F47" s="166">
        <f t="shared" si="0"/>
        <v>5955365832.2782917</v>
      </c>
      <c r="G47" s="7"/>
      <c r="H47" s="7"/>
      <c r="I47" s="15"/>
      <c r="J47" s="15"/>
      <c r="K47" s="15"/>
      <c r="L47" s="15"/>
      <c r="M47" s="15"/>
      <c r="N47" s="15"/>
    </row>
    <row r="48" spans="1:15">
      <c r="B48" s="19"/>
      <c r="E48" s="7"/>
      <c r="F48" s="145"/>
      <c r="G48" s="7"/>
      <c r="H48" s="7"/>
      <c r="I48" s="15"/>
      <c r="J48" s="15"/>
      <c r="K48" s="15"/>
      <c r="L48" s="15"/>
      <c r="M48" s="15"/>
      <c r="N48" s="15"/>
    </row>
    <row r="49" spans="1:18">
      <c r="G49" s="7"/>
      <c r="H49" s="7"/>
      <c r="I49" s="8"/>
      <c r="J49" s="8"/>
      <c r="K49" s="8"/>
      <c r="L49" s="13"/>
      <c r="M49" s="13"/>
      <c r="N49" s="13"/>
    </row>
    <row r="50" spans="1:18">
      <c r="A50" s="190" t="s">
        <v>4</v>
      </c>
      <c r="B50" s="190"/>
      <c r="C50" s="190"/>
      <c r="D50" s="190"/>
      <c r="E50" s="190"/>
      <c r="F50" s="190"/>
      <c r="G50" s="190"/>
      <c r="H50" s="37"/>
      <c r="I50" s="37"/>
      <c r="J50" s="37"/>
      <c r="K50" s="37"/>
      <c r="L50" s="37"/>
      <c r="M50" s="37"/>
      <c r="N50" s="37"/>
      <c r="Q50" s="21"/>
      <c r="R50" s="21"/>
    </row>
    <row r="52" spans="1:18">
      <c r="A52" s="187" t="s">
        <v>21</v>
      </c>
      <c r="B52" s="187"/>
      <c r="D52" s="188" t="s">
        <v>49</v>
      </c>
      <c r="E52" s="188"/>
      <c r="F52" s="188"/>
      <c r="G52" s="188"/>
    </row>
    <row r="53" spans="1:18">
      <c r="A53" s="4" t="s">
        <v>5</v>
      </c>
      <c r="B53" s="146">
        <f>F55/B$9</f>
        <v>5.660849627885149</v>
      </c>
      <c r="D53" s="6" t="s">
        <v>3</v>
      </c>
      <c r="E53" s="6"/>
      <c r="F53" s="6" t="s">
        <v>20</v>
      </c>
      <c r="G53" s="6"/>
    </row>
    <row r="54" spans="1:18">
      <c r="A54" t="s">
        <v>29</v>
      </c>
      <c r="B54" s="24">
        <f>B53*1000/B$12</f>
        <v>18.260805251242417</v>
      </c>
      <c r="D54" s="14" t="s">
        <v>24</v>
      </c>
      <c r="E54" s="14" t="s">
        <v>25</v>
      </c>
      <c r="F54" s="6" t="s">
        <v>24</v>
      </c>
      <c r="G54" s="15" t="s">
        <v>25</v>
      </c>
    </row>
    <row r="55" spans="1:18">
      <c r="A55" t="s">
        <v>34</v>
      </c>
      <c r="B55" s="36">
        <f>(B28*(1+$B$29)^(B32-B31))/(B5*1000*B7)</f>
        <v>1313.2944120100085</v>
      </c>
      <c r="D55" s="10">
        <f>-PMT(B29,B30,B56)</f>
        <v>160380562.10128587</v>
      </c>
      <c r="E55" s="10">
        <f>D55*B30</f>
        <v>3207611242.0257177</v>
      </c>
      <c r="F55" s="144">
        <f>D55*B$12</f>
        <v>49717974251.398621</v>
      </c>
      <c r="G55" s="144">
        <f>E55*B$12</f>
        <v>994359485027.97253</v>
      </c>
    </row>
    <row r="56" spans="1:18">
      <c r="A56" t="s">
        <v>36</v>
      </c>
      <c r="B56" s="1">
        <f>(B28*(1+$B$29)^(B32-B31))</f>
        <v>1574640000.0000002</v>
      </c>
    </row>
    <row r="58" spans="1:18">
      <c r="A58" s="186" t="s">
        <v>41</v>
      </c>
      <c r="B58" s="186"/>
      <c r="C58" s="186"/>
      <c r="D58" s="186"/>
      <c r="E58" s="186"/>
      <c r="F58" s="186"/>
      <c r="G58" s="186"/>
    </row>
    <row r="60" spans="1:18">
      <c r="A60" s="187" t="s">
        <v>21</v>
      </c>
      <c r="B60" s="187"/>
      <c r="D60" s="188" t="s">
        <v>49</v>
      </c>
      <c r="E60" s="188"/>
      <c r="F60" s="188"/>
      <c r="G60" s="188"/>
    </row>
    <row r="61" spans="1:18">
      <c r="A61" s="4" t="s">
        <v>5</v>
      </c>
      <c r="B61" s="146">
        <f>F63/B$9</f>
        <v>2.5911855545081357</v>
      </c>
      <c r="D61" s="25" t="s">
        <v>3</v>
      </c>
      <c r="E61" s="25"/>
      <c r="F61" s="25" t="s">
        <v>20</v>
      </c>
      <c r="G61" s="25"/>
    </row>
    <row r="62" spans="1:18">
      <c r="A62" t="s">
        <v>29</v>
      </c>
      <c r="B62" s="24">
        <f>B61*1000/B$12</f>
        <v>8.3586630790585019</v>
      </c>
      <c r="D62" s="14" t="s">
        <v>24</v>
      </c>
      <c r="E62" s="14" t="s">
        <v>25</v>
      </c>
      <c r="F62" s="25" t="s">
        <v>24</v>
      </c>
      <c r="G62" s="15" t="s">
        <v>25</v>
      </c>
    </row>
    <row r="63" spans="1:18">
      <c r="A63" t="s">
        <v>34</v>
      </c>
      <c r="B63" s="36">
        <f>E6/(B5*1000*B7)</f>
        <v>521.26772310258548</v>
      </c>
      <c r="D63" s="10">
        <f>-PMT(E7,E8,E6)</f>
        <v>73412265.482841104</v>
      </c>
      <c r="E63" s="10">
        <f>D63*E8</f>
        <v>1468245309.6568222</v>
      </c>
      <c r="F63" s="144">
        <f>D63*B$12</f>
        <v>22757802299.680744</v>
      </c>
      <c r="G63" s="144">
        <f>E63*B$12</f>
        <v>455156045993.61487</v>
      </c>
    </row>
    <row r="65" spans="1:15">
      <c r="A65" s="186" t="s">
        <v>40</v>
      </c>
      <c r="B65" s="186"/>
      <c r="C65" s="186"/>
      <c r="D65" s="186"/>
      <c r="E65" s="186"/>
      <c r="F65" s="186"/>
      <c r="G65" s="186"/>
    </row>
    <row r="67" spans="1:15">
      <c r="A67" s="187" t="s">
        <v>21</v>
      </c>
      <c r="B67" s="187"/>
      <c r="D67" s="188" t="s">
        <v>49</v>
      </c>
      <c r="E67" s="188"/>
      <c r="F67" s="188"/>
      <c r="G67" s="188"/>
    </row>
    <row r="68" spans="1:15">
      <c r="A68" s="4" t="s">
        <v>5</v>
      </c>
      <c r="B68" s="146">
        <f>F70/B$9</f>
        <v>2.0729484436065082</v>
      </c>
      <c r="D68" s="26" t="s">
        <v>3</v>
      </c>
      <c r="E68" s="26"/>
      <c r="F68" s="26" t="s">
        <v>20</v>
      </c>
      <c r="G68" s="26"/>
    </row>
    <row r="69" spans="1:15">
      <c r="A69" t="s">
        <v>29</v>
      </c>
      <c r="B69" s="24">
        <f>B68*1000/B$12</f>
        <v>6.6869304632468003</v>
      </c>
      <c r="D69" s="14" t="s">
        <v>24</v>
      </c>
      <c r="E69" s="14" t="s">
        <v>25</v>
      </c>
      <c r="F69" s="26" t="s">
        <v>24</v>
      </c>
      <c r="G69" s="15" t="s">
        <v>25</v>
      </c>
    </row>
    <row r="70" spans="1:15">
      <c r="A70" t="s">
        <v>34</v>
      </c>
      <c r="B70" s="36">
        <f>E12/(B5*1000*B7)</f>
        <v>417.01417848206842</v>
      </c>
      <c r="D70" s="10">
        <f>-PMT(E13,E14,E12)</f>
        <v>58729812.386272885</v>
      </c>
      <c r="E70" s="10">
        <f>D70*E14</f>
        <v>1174596247.7254577</v>
      </c>
      <c r="F70" s="144">
        <f>D70*B$12</f>
        <v>18206241839.744595</v>
      </c>
      <c r="G70" s="144">
        <f>E70*B$12</f>
        <v>364124836794.89191</v>
      </c>
    </row>
    <row r="73" spans="1:15">
      <c r="A73" s="180" t="s">
        <v>22</v>
      </c>
      <c r="B73" s="180"/>
      <c r="C73" s="180"/>
      <c r="D73" s="180"/>
      <c r="E73" s="180"/>
      <c r="F73" s="180"/>
      <c r="G73" s="180"/>
    </row>
    <row r="74" spans="1:15">
      <c r="A74" s="76"/>
      <c r="B74" s="38" t="s">
        <v>7</v>
      </c>
      <c r="C74" s="38" t="s">
        <v>4</v>
      </c>
      <c r="D74" s="38" t="s">
        <v>41</v>
      </c>
      <c r="E74" s="38" t="s">
        <v>40</v>
      </c>
      <c r="F74" s="38" t="s">
        <v>45</v>
      </c>
      <c r="G74" s="38" t="s">
        <v>28</v>
      </c>
    </row>
    <row r="75" spans="1:15">
      <c r="A75" s="77" t="s">
        <v>5</v>
      </c>
      <c r="B75" s="23">
        <f>B37</f>
        <v>16.036170512569949</v>
      </c>
      <c r="C75" s="23">
        <f>B53</f>
        <v>5.660849627885149</v>
      </c>
      <c r="D75" s="23">
        <f>B61</f>
        <v>2.5911855545081357</v>
      </c>
      <c r="E75" s="23">
        <f>B68</f>
        <v>2.0729484436065082</v>
      </c>
      <c r="F75" s="23">
        <f>B10</f>
        <v>9.568435885155063</v>
      </c>
      <c r="G75" s="23">
        <f>SUM(B75:F75)</f>
        <v>35.929590023724806</v>
      </c>
      <c r="O75" s="11"/>
    </row>
    <row r="76" spans="1:15">
      <c r="A76" s="78" t="s">
        <v>29</v>
      </c>
      <c r="B76" s="24">
        <f>B75*1000/$B$12</f>
        <v>51.72958229861274</v>
      </c>
      <c r="C76" s="24">
        <f>C75*1000/$B$12</f>
        <v>18.260805251242417</v>
      </c>
      <c r="D76" s="24">
        <f>D75*1000/$B$12</f>
        <v>8.3586630790585019</v>
      </c>
      <c r="E76" s="24">
        <f>E75*1000/$B$12</f>
        <v>6.6869304632468003</v>
      </c>
      <c r="F76" s="24">
        <f>F75*1000/$B$12</f>
        <v>30.865922210177619</v>
      </c>
      <c r="G76" s="24">
        <f>SUM(B76:F76)</f>
        <v>115.90190330233807</v>
      </c>
    </row>
    <row r="78" spans="1:15">
      <c r="A78" s="180" t="s">
        <v>21</v>
      </c>
      <c r="B78" s="180"/>
      <c r="C78" s="180"/>
      <c r="D78" s="180"/>
      <c r="E78" s="180"/>
      <c r="F78" s="180"/>
    </row>
    <row r="79" spans="1:15">
      <c r="A79" s="76"/>
      <c r="B79" s="38" t="s">
        <v>7</v>
      </c>
      <c r="C79" s="38" t="s">
        <v>4</v>
      </c>
      <c r="D79" s="38" t="s">
        <v>41</v>
      </c>
      <c r="E79" s="38" t="s">
        <v>40</v>
      </c>
      <c r="F79" s="38" t="s">
        <v>28</v>
      </c>
    </row>
    <row r="80" spans="1:15">
      <c r="A80" s="77" t="s">
        <v>5</v>
      </c>
      <c r="B80" s="23">
        <f>B37</f>
        <v>16.036170512569949</v>
      </c>
      <c r="C80" s="23">
        <f>B53</f>
        <v>5.660849627885149</v>
      </c>
      <c r="D80" s="23">
        <f>B61</f>
        <v>2.5911855545081357</v>
      </c>
      <c r="E80" s="23">
        <f>B68</f>
        <v>2.0729484436065082</v>
      </c>
      <c r="F80" s="121">
        <f>SUM(B80:E80)</f>
        <v>26.361154138569745</v>
      </c>
    </row>
    <row r="81" spans="1:19">
      <c r="A81" s="78" t="s">
        <v>29</v>
      </c>
      <c r="B81" s="24">
        <f>B80*1000/$B$12</f>
        <v>51.72958229861274</v>
      </c>
      <c r="C81" s="24">
        <f>C80*1000/$B$12</f>
        <v>18.260805251242417</v>
      </c>
      <c r="D81" s="24">
        <f>D80*1000/$B$12</f>
        <v>8.3586630790585019</v>
      </c>
      <c r="E81" s="24">
        <f>E80*1000/$B$12</f>
        <v>6.6869304632468003</v>
      </c>
      <c r="F81" s="24">
        <f>F80*1000/$B$12</f>
        <v>85.035981092160469</v>
      </c>
    </row>
    <row r="83" spans="1:19">
      <c r="A83" s="180" t="s">
        <v>58</v>
      </c>
      <c r="B83" s="180"/>
      <c r="C83" s="180"/>
      <c r="D83" s="180"/>
      <c r="E83" s="180"/>
      <c r="F83" s="180"/>
      <c r="H83" s="21"/>
      <c r="I83" s="21"/>
      <c r="J83" s="21"/>
      <c r="K83" s="21"/>
      <c r="L83" s="21"/>
      <c r="M83" s="21"/>
      <c r="N83" s="21"/>
      <c r="O83" s="12"/>
      <c r="P83" s="12"/>
      <c r="S83" s="20"/>
    </row>
    <row r="84" spans="1:19">
      <c r="A84" s="76"/>
      <c r="B84" s="38" t="s">
        <v>7</v>
      </c>
      <c r="C84" s="38" t="s">
        <v>4</v>
      </c>
      <c r="D84" s="38" t="s">
        <v>41</v>
      </c>
      <c r="E84" s="38" t="s">
        <v>40</v>
      </c>
      <c r="F84" s="38" t="s">
        <v>28</v>
      </c>
      <c r="H84" s="16"/>
      <c r="I84" s="122"/>
      <c r="J84" s="122"/>
      <c r="K84" s="122"/>
      <c r="L84" s="12"/>
      <c r="M84" s="12"/>
      <c r="N84" s="12"/>
      <c r="O84" s="12"/>
      <c r="P84" s="12"/>
      <c r="S84" s="9"/>
    </row>
    <row r="85" spans="1:19">
      <c r="A85" s="77" t="s">
        <v>2</v>
      </c>
      <c r="B85" s="45">
        <f>J39</f>
        <v>140842093509.70706</v>
      </c>
      <c r="C85" s="45">
        <f>F55</f>
        <v>49717974251.398621</v>
      </c>
      <c r="D85" s="45">
        <f>F63</f>
        <v>22757802299.680744</v>
      </c>
      <c r="E85" s="46">
        <f>F70</f>
        <v>18206241839.744595</v>
      </c>
      <c r="F85" s="120">
        <f>SUM(B85:E85)</f>
        <v>231524111900.53104</v>
      </c>
      <c r="H85" s="14"/>
      <c r="I85" s="14"/>
      <c r="J85" s="15"/>
      <c r="K85" s="14"/>
      <c r="L85" s="12"/>
      <c r="M85" s="12"/>
      <c r="N85" s="12"/>
      <c r="O85" s="12"/>
      <c r="P85" s="12"/>
      <c r="S85" s="9"/>
    </row>
    <row r="86" spans="1:19">
      <c r="A86" s="78" t="s">
        <v>3</v>
      </c>
      <c r="B86" s="47">
        <f>H39</f>
        <v>454329333.90228087</v>
      </c>
      <c r="C86" s="47">
        <f>D55</f>
        <v>160380562.10128587</v>
      </c>
      <c r="D86" s="47">
        <f>D63</f>
        <v>73412265.482841104</v>
      </c>
      <c r="E86" s="48">
        <f>D70</f>
        <v>58729812.386272885</v>
      </c>
      <c r="F86" s="47">
        <f>SUM(B86:D86)</f>
        <v>688122161.48640788</v>
      </c>
      <c r="H86" s="40"/>
      <c r="I86" s="41"/>
      <c r="J86" s="41"/>
      <c r="K86" s="42"/>
      <c r="L86" s="12"/>
      <c r="M86" s="12"/>
      <c r="N86" s="12"/>
      <c r="O86" s="12"/>
      <c r="P86" s="12"/>
      <c r="S86" s="9"/>
    </row>
    <row r="87" spans="1:19">
      <c r="H87" s="40"/>
      <c r="I87" s="41"/>
      <c r="J87" s="41"/>
      <c r="K87" s="42"/>
      <c r="L87" s="12"/>
      <c r="M87" s="12"/>
      <c r="N87" s="12"/>
      <c r="O87" s="12"/>
      <c r="P87" s="12"/>
      <c r="S87" s="9"/>
    </row>
    <row r="88" spans="1:19">
      <c r="A88" s="180" t="s">
        <v>50</v>
      </c>
      <c r="B88" s="180"/>
      <c r="C88" s="180"/>
      <c r="D88" s="180"/>
      <c r="E88" s="180"/>
      <c r="F88" s="180"/>
      <c r="H88" s="40"/>
      <c r="I88" s="41"/>
      <c r="J88" s="41"/>
      <c r="K88" s="42"/>
      <c r="L88" s="12"/>
      <c r="M88" s="12"/>
      <c r="N88" s="12"/>
      <c r="O88" s="12"/>
      <c r="P88" s="12"/>
      <c r="S88" s="9"/>
    </row>
    <row r="89" spans="1:19">
      <c r="A89" s="76"/>
      <c r="B89" s="38" t="s">
        <v>7</v>
      </c>
      <c r="C89" s="38" t="s">
        <v>4</v>
      </c>
      <c r="D89" s="38" t="s">
        <v>41</v>
      </c>
      <c r="E89" s="38" t="s">
        <v>40</v>
      </c>
      <c r="F89" s="38" t="s">
        <v>28</v>
      </c>
      <c r="H89" s="40"/>
      <c r="I89" s="41"/>
      <c r="J89" s="41"/>
      <c r="K89" s="42"/>
      <c r="L89" s="12"/>
      <c r="M89" s="12"/>
      <c r="N89" s="12"/>
      <c r="O89" s="12"/>
      <c r="P89" s="12"/>
      <c r="S89" s="9"/>
    </row>
    <row r="90" spans="1:19">
      <c r="A90" s="77" t="s">
        <v>2</v>
      </c>
      <c r="B90" s="45">
        <f>K39</f>
        <v>2957683963703.8486</v>
      </c>
      <c r="C90" s="45">
        <f>G55</f>
        <v>994359485027.97253</v>
      </c>
      <c r="D90" s="45">
        <f>G63</f>
        <v>455156045993.61487</v>
      </c>
      <c r="E90" s="46">
        <f>G70</f>
        <v>364124836794.89191</v>
      </c>
      <c r="F90" s="120">
        <f>SUM(B90:E90)</f>
        <v>4771324331520.3281</v>
      </c>
      <c r="H90" s="40"/>
      <c r="I90" s="41"/>
      <c r="J90" s="41"/>
      <c r="K90" s="42"/>
      <c r="L90" s="12"/>
      <c r="M90" s="12"/>
      <c r="N90" s="12"/>
      <c r="O90" s="12"/>
      <c r="P90" s="12"/>
      <c r="S90" s="9"/>
    </row>
    <row r="91" spans="1:19">
      <c r="A91" s="78" t="s">
        <v>3</v>
      </c>
      <c r="B91" s="48">
        <f>I39</f>
        <v>9540916011.9478989</v>
      </c>
      <c r="C91" s="48">
        <f>E55</f>
        <v>3207611242.0257177</v>
      </c>
      <c r="D91" s="48">
        <f>E63</f>
        <v>1468245309.6568222</v>
      </c>
      <c r="E91" s="48">
        <f>E70</f>
        <v>1174596247.7254577</v>
      </c>
      <c r="F91" s="48">
        <f>SUM(B91:E91)</f>
        <v>15391368811.355898</v>
      </c>
      <c r="H91" s="40"/>
      <c r="I91" s="41"/>
      <c r="J91" s="41"/>
      <c r="K91" s="42"/>
      <c r="L91" s="12"/>
      <c r="M91" s="12"/>
      <c r="N91" s="12"/>
      <c r="O91" s="12"/>
      <c r="P91" s="12"/>
      <c r="S91" s="9"/>
    </row>
    <row r="92" spans="1:19">
      <c r="D92" s="12"/>
      <c r="E92" s="12"/>
      <c r="F92" s="10"/>
      <c r="G92" s="10"/>
      <c r="H92" s="40"/>
      <c r="I92" s="41"/>
      <c r="J92" s="41"/>
      <c r="K92" s="42"/>
      <c r="L92" s="12"/>
      <c r="M92" s="12"/>
      <c r="N92" s="12"/>
      <c r="O92" s="12"/>
      <c r="P92" s="12"/>
      <c r="S92" s="9"/>
    </row>
    <row r="93" spans="1:19">
      <c r="D93" s="12"/>
      <c r="E93" s="12"/>
      <c r="F93" s="10"/>
      <c r="G93" s="10"/>
      <c r="H93" s="40"/>
      <c r="I93" s="41"/>
      <c r="J93" s="41"/>
      <c r="K93" s="42"/>
      <c r="L93" s="12"/>
      <c r="M93" s="12"/>
      <c r="N93" s="12"/>
      <c r="O93" s="12"/>
      <c r="P93" s="12"/>
      <c r="S93" s="9"/>
    </row>
    <row r="94" spans="1:19">
      <c r="D94" s="12"/>
      <c r="E94" s="12"/>
      <c r="F94" s="10"/>
      <c r="G94" s="10"/>
      <c r="H94" s="40"/>
      <c r="I94" s="41"/>
      <c r="J94" s="41"/>
      <c r="K94" s="42"/>
      <c r="L94" s="12"/>
      <c r="M94" s="12"/>
      <c r="N94" s="12"/>
      <c r="O94" s="12"/>
      <c r="P94" s="12"/>
      <c r="S94" s="9"/>
    </row>
    <row r="95" spans="1:19">
      <c r="D95" s="12"/>
      <c r="E95" s="12"/>
      <c r="F95" s="10"/>
      <c r="G95" s="10"/>
      <c r="H95" s="40"/>
      <c r="I95" s="41"/>
      <c r="J95" s="41"/>
      <c r="K95" s="42"/>
      <c r="L95" s="12"/>
      <c r="M95" s="12"/>
      <c r="N95" s="12"/>
      <c r="O95" s="12"/>
      <c r="P95" s="12"/>
      <c r="S95" s="9"/>
    </row>
    <row r="96" spans="1:19">
      <c r="D96" s="12"/>
      <c r="E96" s="12"/>
      <c r="F96" s="10"/>
      <c r="G96" s="10"/>
      <c r="H96" s="40"/>
      <c r="I96" s="41"/>
      <c r="J96" s="41"/>
      <c r="K96" s="42"/>
      <c r="L96" s="12"/>
      <c r="M96" s="12"/>
      <c r="N96" s="12"/>
      <c r="O96" s="12"/>
      <c r="P96" s="12"/>
      <c r="S96" s="9"/>
    </row>
    <row r="97" spans="4:19">
      <c r="D97" s="12"/>
      <c r="E97" s="12"/>
      <c r="F97" s="10"/>
      <c r="G97" s="10"/>
      <c r="H97" s="40"/>
      <c r="I97" s="41"/>
      <c r="J97" s="41"/>
      <c r="K97" s="42"/>
      <c r="L97" s="12"/>
      <c r="M97" s="12"/>
      <c r="N97" s="12"/>
      <c r="O97" s="12"/>
      <c r="P97" s="12"/>
      <c r="S97" s="9"/>
    </row>
    <row r="98" spans="4:19">
      <c r="D98" s="12"/>
      <c r="E98" s="12"/>
      <c r="F98" s="10"/>
      <c r="G98" s="10"/>
      <c r="H98" s="40"/>
      <c r="I98" s="41"/>
      <c r="J98" s="41"/>
      <c r="K98" s="42"/>
      <c r="L98" s="12"/>
      <c r="M98" s="12"/>
      <c r="N98" s="12"/>
      <c r="O98" s="12"/>
      <c r="P98" s="12"/>
      <c r="S98" s="9"/>
    </row>
    <row r="99" spans="4:19">
      <c r="D99" s="12"/>
      <c r="E99" s="12"/>
      <c r="F99" s="10"/>
      <c r="G99" s="10"/>
      <c r="H99" s="40"/>
      <c r="I99" s="41"/>
      <c r="J99" s="41"/>
      <c r="K99" s="42"/>
      <c r="L99" s="12"/>
      <c r="M99" s="12"/>
      <c r="N99" s="12"/>
      <c r="O99" s="12"/>
      <c r="P99" s="12"/>
      <c r="S99" s="9"/>
    </row>
    <row r="100" spans="4:19">
      <c r="D100" s="12"/>
      <c r="E100" s="12"/>
      <c r="F100" s="10"/>
      <c r="G100" s="10"/>
      <c r="H100" s="40"/>
      <c r="I100" s="41"/>
      <c r="J100" s="41"/>
      <c r="K100" s="42"/>
      <c r="L100" s="12"/>
      <c r="M100" s="12"/>
      <c r="N100" s="12"/>
      <c r="O100" s="12"/>
      <c r="P100" s="12"/>
      <c r="S100" s="9"/>
    </row>
    <row r="101" spans="4:19">
      <c r="D101" s="12"/>
      <c r="E101" s="12"/>
      <c r="F101" s="10"/>
      <c r="G101" s="10"/>
      <c r="H101" s="40"/>
      <c r="I101" s="41"/>
      <c r="J101" s="41"/>
      <c r="K101" s="42"/>
      <c r="L101" s="12"/>
      <c r="M101" s="12"/>
      <c r="N101" s="12"/>
      <c r="O101" s="12"/>
      <c r="P101" s="12"/>
      <c r="S101" s="9"/>
    </row>
    <row r="102" spans="4:19">
      <c r="D102" s="12"/>
      <c r="E102" s="12"/>
      <c r="F102" s="10"/>
      <c r="G102" s="10"/>
      <c r="H102" s="40"/>
      <c r="I102" s="41"/>
      <c r="J102" s="41"/>
      <c r="K102" s="42"/>
      <c r="L102" s="12"/>
      <c r="M102" s="12"/>
      <c r="N102" s="12"/>
      <c r="O102" s="12"/>
      <c r="P102" s="12"/>
      <c r="S102" s="9"/>
    </row>
    <row r="103" spans="4:19">
      <c r="D103" s="12"/>
      <c r="E103" s="12"/>
      <c r="F103" s="10"/>
      <c r="G103" s="10"/>
      <c r="H103" s="40"/>
      <c r="I103" s="41"/>
      <c r="J103" s="41"/>
      <c r="K103" s="42"/>
      <c r="L103" s="12"/>
      <c r="M103" s="12"/>
      <c r="N103" s="12"/>
      <c r="O103" s="12"/>
      <c r="P103" s="12"/>
      <c r="S103" s="9"/>
    </row>
    <row r="104" spans="4:19">
      <c r="D104" s="12"/>
      <c r="E104" s="12"/>
      <c r="F104" s="10"/>
      <c r="G104" s="10"/>
      <c r="H104" s="40"/>
      <c r="I104" s="41"/>
      <c r="J104" s="41"/>
      <c r="K104" s="42"/>
      <c r="L104" s="12"/>
      <c r="M104" s="12"/>
      <c r="N104" s="12"/>
      <c r="O104" s="12"/>
      <c r="P104" s="12"/>
      <c r="S104" s="9"/>
    </row>
    <row r="105" spans="4:19">
      <c r="D105" s="12"/>
      <c r="E105" s="12"/>
      <c r="F105" s="10"/>
      <c r="G105" s="10"/>
      <c r="H105" s="40"/>
      <c r="I105" s="41"/>
      <c r="J105" s="41"/>
      <c r="K105" s="42"/>
      <c r="L105" s="12"/>
      <c r="M105" s="12"/>
      <c r="N105" s="12"/>
      <c r="O105" s="12"/>
      <c r="P105" s="12"/>
      <c r="S105" s="12"/>
    </row>
    <row r="106" spans="4:19">
      <c r="D106" s="12"/>
      <c r="E106" s="12"/>
      <c r="F106" s="40"/>
      <c r="G106" s="40"/>
      <c r="H106" s="40"/>
      <c r="I106" s="41"/>
      <c r="J106" s="41"/>
      <c r="K106" s="42"/>
      <c r="L106" s="12"/>
      <c r="M106" s="12"/>
      <c r="N106" s="12"/>
      <c r="O106" s="12"/>
      <c r="P106" s="12"/>
    </row>
    <row r="107" spans="4:19"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</row>
    <row r="108" spans="4:19">
      <c r="D108" s="189"/>
      <c r="E108" s="189"/>
      <c r="F108" s="189"/>
      <c r="G108" s="189"/>
      <c r="H108" s="189"/>
      <c r="I108" s="189"/>
      <c r="J108" s="189"/>
      <c r="K108" s="189"/>
      <c r="L108" s="189"/>
      <c r="M108" s="189"/>
      <c r="N108" s="189"/>
      <c r="O108" s="189"/>
      <c r="P108" s="189"/>
    </row>
    <row r="109" spans="4:19">
      <c r="D109" s="12"/>
      <c r="E109" s="12"/>
      <c r="F109" s="185"/>
      <c r="G109" s="185"/>
      <c r="H109" s="185"/>
      <c r="I109" s="185"/>
      <c r="J109" s="185"/>
      <c r="K109" s="185"/>
      <c r="L109" s="184"/>
      <c r="M109" s="184"/>
      <c r="N109" s="184"/>
      <c r="O109" s="12"/>
      <c r="P109" s="12"/>
    </row>
    <row r="110" spans="4:19">
      <c r="D110" s="12"/>
      <c r="E110" s="14"/>
      <c r="F110" s="14"/>
      <c r="G110" s="15"/>
      <c r="H110" s="14"/>
      <c r="I110" s="14"/>
      <c r="J110" s="15"/>
      <c r="K110" s="14"/>
      <c r="L110" s="43"/>
      <c r="M110" s="43"/>
      <c r="N110" s="44"/>
      <c r="O110" s="12"/>
      <c r="P110" s="12"/>
    </row>
    <row r="111" spans="4:19">
      <c r="D111" s="12"/>
      <c r="E111" s="12"/>
      <c r="F111" s="10"/>
      <c r="G111" s="10"/>
      <c r="H111" s="10"/>
      <c r="I111" s="10"/>
      <c r="J111" s="10"/>
      <c r="K111" s="10"/>
      <c r="L111" s="41"/>
      <c r="M111" s="41"/>
      <c r="N111" s="42"/>
      <c r="O111" s="41"/>
      <c r="P111" s="41"/>
    </row>
    <row r="112" spans="4:19">
      <c r="D112" s="12"/>
      <c r="E112" s="12"/>
      <c r="F112" s="10"/>
      <c r="G112" s="10"/>
      <c r="H112" s="10"/>
      <c r="I112" s="10"/>
      <c r="J112" s="10"/>
      <c r="K112" s="10"/>
      <c r="L112" s="41"/>
      <c r="M112" s="41"/>
      <c r="N112" s="42"/>
      <c r="O112" s="41"/>
      <c r="P112" s="41"/>
    </row>
    <row r="113" spans="4:16">
      <c r="D113" s="12"/>
      <c r="E113" s="12"/>
      <c r="F113" s="10"/>
      <c r="G113" s="10"/>
      <c r="H113" s="10"/>
      <c r="I113" s="10"/>
      <c r="J113" s="10"/>
      <c r="K113" s="10"/>
      <c r="L113" s="41"/>
      <c r="M113" s="41"/>
      <c r="N113" s="42"/>
      <c r="O113" s="41"/>
      <c r="P113" s="41"/>
    </row>
    <row r="114" spans="4:16">
      <c r="D114" s="12"/>
      <c r="E114" s="12"/>
      <c r="F114" s="10"/>
      <c r="G114" s="10"/>
      <c r="H114" s="10"/>
      <c r="I114" s="10"/>
      <c r="J114" s="10"/>
      <c r="K114" s="10"/>
      <c r="L114" s="41"/>
      <c r="M114" s="41"/>
      <c r="N114" s="42"/>
      <c r="O114" s="41"/>
      <c r="P114" s="41"/>
    </row>
    <row r="115" spans="4:16">
      <c r="D115" s="12"/>
      <c r="E115" s="12"/>
      <c r="F115" s="10"/>
      <c r="G115" s="10"/>
      <c r="H115" s="10"/>
      <c r="I115" s="10"/>
      <c r="J115" s="10"/>
      <c r="K115" s="10"/>
      <c r="L115" s="41"/>
      <c r="M115" s="41"/>
      <c r="N115" s="42"/>
      <c r="O115" s="41"/>
      <c r="P115" s="41"/>
    </row>
    <row r="116" spans="4:16">
      <c r="D116" s="12"/>
      <c r="E116" s="12"/>
      <c r="F116" s="10"/>
      <c r="G116" s="10"/>
      <c r="H116" s="10"/>
      <c r="I116" s="10"/>
      <c r="J116" s="10"/>
      <c r="K116" s="10"/>
      <c r="L116" s="41"/>
      <c r="M116" s="41"/>
      <c r="N116" s="42"/>
      <c r="O116" s="41"/>
      <c r="P116" s="41"/>
    </row>
    <row r="117" spans="4:16">
      <c r="D117" s="12"/>
      <c r="E117" s="12"/>
      <c r="F117" s="10"/>
      <c r="G117" s="10"/>
      <c r="H117" s="10"/>
      <c r="I117" s="10"/>
      <c r="J117" s="10"/>
      <c r="K117" s="10"/>
      <c r="L117" s="41"/>
      <c r="M117" s="41"/>
      <c r="N117" s="42"/>
      <c r="O117" s="41"/>
      <c r="P117" s="41"/>
    </row>
    <row r="118" spans="4:16">
      <c r="D118" s="12"/>
      <c r="E118" s="12"/>
      <c r="F118" s="10"/>
      <c r="G118" s="10"/>
      <c r="H118" s="10"/>
      <c r="I118" s="10"/>
      <c r="J118" s="10"/>
      <c r="K118" s="10"/>
      <c r="L118" s="41"/>
      <c r="M118" s="41"/>
      <c r="N118" s="42"/>
      <c r="O118" s="41"/>
      <c r="P118" s="41"/>
    </row>
    <row r="119" spans="4:16">
      <c r="D119" s="12"/>
      <c r="E119" s="12"/>
      <c r="F119" s="10"/>
      <c r="G119" s="10"/>
      <c r="H119" s="10"/>
      <c r="I119" s="10"/>
      <c r="J119" s="10"/>
      <c r="K119" s="10"/>
      <c r="L119" s="41"/>
      <c r="M119" s="41"/>
      <c r="N119" s="42"/>
      <c r="O119" s="41"/>
      <c r="P119" s="41"/>
    </row>
    <row r="120" spans="4:16">
      <c r="D120" s="12"/>
      <c r="E120" s="12"/>
      <c r="F120" s="10"/>
      <c r="G120" s="10"/>
      <c r="H120" s="10"/>
      <c r="I120" s="10"/>
      <c r="J120" s="10"/>
      <c r="K120" s="10"/>
      <c r="L120" s="41"/>
      <c r="M120" s="41"/>
      <c r="N120" s="42"/>
      <c r="O120" s="41"/>
      <c r="P120" s="41"/>
    </row>
    <row r="121" spans="4:16">
      <c r="D121" s="12"/>
      <c r="E121" s="12"/>
      <c r="F121" s="10"/>
      <c r="G121" s="10"/>
      <c r="H121" s="10"/>
      <c r="I121" s="10"/>
      <c r="J121" s="10"/>
      <c r="K121" s="10"/>
      <c r="L121" s="41"/>
      <c r="M121" s="41"/>
      <c r="N121" s="42"/>
      <c r="O121" s="41"/>
      <c r="P121" s="41"/>
    </row>
    <row r="122" spans="4:16">
      <c r="D122" s="12"/>
      <c r="E122" s="12"/>
      <c r="F122" s="10"/>
      <c r="G122" s="10"/>
      <c r="H122" s="10"/>
      <c r="I122" s="10"/>
      <c r="J122" s="10"/>
      <c r="K122" s="10"/>
      <c r="L122" s="41"/>
      <c r="M122" s="41"/>
      <c r="N122" s="42"/>
      <c r="O122" s="41"/>
      <c r="P122" s="41"/>
    </row>
    <row r="123" spans="4:16">
      <c r="D123" s="12"/>
      <c r="E123" s="12"/>
      <c r="F123" s="10"/>
      <c r="G123" s="10"/>
      <c r="H123" s="10"/>
      <c r="I123" s="10"/>
      <c r="J123" s="10"/>
      <c r="K123" s="10"/>
      <c r="L123" s="41"/>
      <c r="M123" s="41"/>
      <c r="N123" s="42"/>
      <c r="O123" s="41"/>
      <c r="P123" s="41"/>
    </row>
    <row r="124" spans="4:16">
      <c r="D124" s="12"/>
      <c r="E124" s="12"/>
      <c r="F124" s="10"/>
      <c r="G124" s="10"/>
      <c r="H124" s="10"/>
      <c r="I124" s="10"/>
      <c r="J124" s="10"/>
      <c r="K124" s="10"/>
      <c r="L124" s="41"/>
      <c r="M124" s="41"/>
      <c r="N124" s="42"/>
      <c r="O124" s="41"/>
      <c r="P124" s="41"/>
    </row>
    <row r="125" spans="4:16">
      <c r="D125" s="12"/>
      <c r="E125" s="12"/>
      <c r="F125" s="10"/>
      <c r="G125" s="10"/>
      <c r="H125" s="10"/>
      <c r="I125" s="10"/>
      <c r="J125" s="10"/>
      <c r="K125" s="10"/>
      <c r="L125" s="41"/>
      <c r="M125" s="41"/>
      <c r="N125" s="42"/>
      <c r="O125" s="41"/>
      <c r="P125" s="41"/>
    </row>
    <row r="126" spans="4:16">
      <c r="D126" s="12"/>
      <c r="E126" s="12"/>
      <c r="F126" s="10"/>
      <c r="G126" s="10"/>
      <c r="H126" s="10"/>
      <c r="I126" s="10"/>
      <c r="J126" s="10"/>
      <c r="K126" s="10"/>
      <c r="L126" s="41"/>
      <c r="M126" s="41"/>
      <c r="N126" s="42"/>
      <c r="O126" s="41"/>
      <c r="P126" s="41"/>
    </row>
    <row r="127" spans="4:16">
      <c r="D127" s="12"/>
      <c r="E127" s="12"/>
      <c r="F127" s="10"/>
      <c r="G127" s="10"/>
      <c r="H127" s="10"/>
      <c r="I127" s="10"/>
      <c r="J127" s="10"/>
      <c r="K127" s="10"/>
      <c r="L127" s="41"/>
      <c r="M127" s="41"/>
      <c r="N127" s="42"/>
      <c r="O127" s="41"/>
      <c r="P127" s="41"/>
    </row>
    <row r="128" spans="4:16">
      <c r="D128" s="12"/>
      <c r="E128" s="12"/>
      <c r="F128" s="10"/>
      <c r="G128" s="10"/>
      <c r="H128" s="10"/>
      <c r="I128" s="10"/>
      <c r="J128" s="10"/>
      <c r="K128" s="10"/>
      <c r="L128" s="41"/>
      <c r="M128" s="41"/>
      <c r="N128" s="42"/>
      <c r="O128" s="41"/>
      <c r="P128" s="41"/>
    </row>
    <row r="129" spans="4:16">
      <c r="D129" s="12"/>
      <c r="E129" s="12"/>
      <c r="F129" s="10"/>
      <c r="G129" s="10"/>
      <c r="H129" s="10"/>
      <c r="I129" s="10"/>
      <c r="J129" s="10"/>
      <c r="K129" s="10"/>
      <c r="L129" s="41"/>
      <c r="M129" s="41"/>
      <c r="N129" s="42"/>
      <c r="O129" s="41"/>
      <c r="P129" s="41"/>
    </row>
    <row r="130" spans="4:16">
      <c r="D130" s="12"/>
      <c r="E130" s="12"/>
      <c r="F130" s="10"/>
      <c r="G130" s="10"/>
      <c r="H130" s="10"/>
      <c r="I130" s="10"/>
      <c r="J130" s="10"/>
      <c r="K130" s="10"/>
      <c r="L130" s="41"/>
      <c r="M130" s="41"/>
      <c r="N130" s="42"/>
      <c r="O130" s="41"/>
      <c r="P130" s="41"/>
    </row>
    <row r="131" spans="4:16">
      <c r="D131" s="12"/>
      <c r="E131" s="12"/>
      <c r="F131" s="10"/>
      <c r="G131" s="10"/>
      <c r="H131" s="10"/>
      <c r="I131" s="10"/>
      <c r="J131" s="10"/>
      <c r="K131" s="10"/>
      <c r="L131" s="41"/>
      <c r="M131" s="41"/>
      <c r="N131" s="42"/>
      <c r="O131" s="41"/>
      <c r="P131" s="41"/>
    </row>
    <row r="132" spans="4:16">
      <c r="D132" s="12"/>
      <c r="E132" s="12"/>
      <c r="F132" s="10"/>
      <c r="G132" s="10"/>
      <c r="H132" s="10"/>
      <c r="I132" s="10"/>
      <c r="J132" s="10"/>
      <c r="K132" s="10"/>
      <c r="L132" s="41"/>
      <c r="M132" s="41"/>
      <c r="N132" s="42"/>
      <c r="O132" s="41"/>
      <c r="P132" s="41"/>
    </row>
  </sheetData>
  <mergeCells count="28">
    <mergeCell ref="A73:G73"/>
    <mergeCell ref="A78:F78"/>
    <mergeCell ref="A83:F83"/>
    <mergeCell ref="A36:B36"/>
    <mergeCell ref="A2:B2"/>
    <mergeCell ref="D36:F36"/>
    <mergeCell ref="A50:G50"/>
    <mergeCell ref="D10:E10"/>
    <mergeCell ref="D2:E2"/>
    <mergeCell ref="A26:B26"/>
    <mergeCell ref="D24:F24"/>
    <mergeCell ref="A14:B14"/>
    <mergeCell ref="A88:F88"/>
    <mergeCell ref="D17:F17"/>
    <mergeCell ref="L109:N109"/>
    <mergeCell ref="F109:H109"/>
    <mergeCell ref="I109:K109"/>
    <mergeCell ref="A65:G65"/>
    <mergeCell ref="A67:B67"/>
    <mergeCell ref="D67:G67"/>
    <mergeCell ref="A52:B52"/>
    <mergeCell ref="D108:P108"/>
    <mergeCell ref="D52:G52"/>
    <mergeCell ref="A60:B60"/>
    <mergeCell ref="A58:G58"/>
    <mergeCell ref="D60:G60"/>
    <mergeCell ref="A34:K34"/>
    <mergeCell ref="H36:K36"/>
  </mergeCells>
  <pageMargins left="0.7" right="0.7" top="0.75" bottom="0.75" header="0.3" footer="0.3"/>
  <pageSetup paperSize="9" orientation="portrait" r:id="rId1"/>
  <ignoredErrors>
    <ignoredError sqref="B22" formulaRange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2"/>
  <sheetViews>
    <sheetView topLeftCell="A2" zoomScaleNormal="100" workbookViewId="0">
      <selection activeCell="B16" sqref="B16"/>
    </sheetView>
  </sheetViews>
  <sheetFormatPr defaultRowHeight="15"/>
  <cols>
    <col min="2" max="2" width="11.140625" bestFit="1" customWidth="1"/>
    <col min="3" max="3" width="11.5703125" customWidth="1"/>
    <col min="4" max="4" width="11.85546875" customWidth="1"/>
    <col min="5" max="5" width="9.140625" customWidth="1"/>
    <col min="6" max="6" width="11.140625" bestFit="1" customWidth="1"/>
    <col min="7" max="7" width="16.140625" bestFit="1" customWidth="1"/>
    <col min="8" max="8" width="14.7109375" bestFit="1" customWidth="1"/>
    <col min="9" max="9" width="11" bestFit="1" customWidth="1"/>
    <col min="10" max="10" width="19.85546875" bestFit="1" customWidth="1"/>
    <col min="11" max="11" width="14.42578125" customWidth="1"/>
    <col min="12" max="12" width="7.5703125" bestFit="1" customWidth="1"/>
    <col min="13" max="13" width="18.7109375" bestFit="1" customWidth="1"/>
    <col min="14" max="14" width="20.7109375" bestFit="1" customWidth="1"/>
    <col min="15" max="16" width="22.28515625" bestFit="1" customWidth="1"/>
    <col min="17" max="19" width="9.140625" customWidth="1"/>
  </cols>
  <sheetData>
    <row r="1" spans="1:19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19" ht="15.75" thickBo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19" ht="15" customHeight="1">
      <c r="B3" s="199" t="s">
        <v>37</v>
      </c>
      <c r="C3" s="200"/>
      <c r="D3" s="200"/>
      <c r="E3" s="201"/>
      <c r="F3" s="207" t="s">
        <v>63</v>
      </c>
      <c r="G3" s="208"/>
      <c r="H3" s="208"/>
      <c r="I3" s="209"/>
      <c r="J3" s="204" t="s">
        <v>52</v>
      </c>
      <c r="K3" s="205"/>
      <c r="L3" s="205"/>
      <c r="M3" s="206"/>
      <c r="N3" s="12"/>
      <c r="O3" s="12"/>
      <c r="P3" s="12"/>
      <c r="Q3" s="12"/>
    </row>
    <row r="4" spans="1:19">
      <c r="B4" s="101" t="s">
        <v>11</v>
      </c>
      <c r="C4" s="63" t="s">
        <v>9</v>
      </c>
      <c r="D4" s="82" t="s">
        <v>75</v>
      </c>
      <c r="E4" s="79" t="s">
        <v>10</v>
      </c>
      <c r="F4" s="98"/>
      <c r="G4" s="63" t="s">
        <v>67</v>
      </c>
      <c r="H4" s="91" t="s">
        <v>73</v>
      </c>
      <c r="I4" s="65" t="s">
        <v>29</v>
      </c>
      <c r="J4" s="39"/>
      <c r="K4" s="64" t="s">
        <v>2</v>
      </c>
      <c r="L4" s="112" t="s">
        <v>5</v>
      </c>
      <c r="M4" s="116" t="s">
        <v>29</v>
      </c>
      <c r="N4" s="12"/>
      <c r="O4" s="12"/>
      <c r="P4" s="12"/>
      <c r="Q4" s="12"/>
    </row>
    <row r="5" spans="1:19">
      <c r="B5" s="53" t="s">
        <v>8</v>
      </c>
      <c r="C5" s="49">
        <v>12.08</v>
      </c>
      <c r="D5" s="83">
        <v>14.49</v>
      </c>
      <c r="E5" s="54">
        <v>17.38</v>
      </c>
      <c r="F5" s="51" t="s">
        <v>8</v>
      </c>
      <c r="G5" s="49">
        <v>29.79</v>
      </c>
      <c r="H5" s="52">
        <v>31.96</v>
      </c>
      <c r="I5" s="90">
        <f>H5/M$22</f>
        <v>23.196774189806973</v>
      </c>
      <c r="J5" s="53" t="s">
        <v>53</v>
      </c>
      <c r="K5" s="66">
        <v>14915000000</v>
      </c>
      <c r="L5" s="113"/>
      <c r="M5" s="117"/>
      <c r="N5" s="27"/>
      <c r="O5" s="27"/>
      <c r="P5" s="27"/>
      <c r="Q5" s="27"/>
      <c r="R5" s="27"/>
      <c r="S5" s="27"/>
    </row>
    <row r="6" spans="1:19">
      <c r="B6" s="53" t="s">
        <v>51</v>
      </c>
      <c r="C6" s="50">
        <v>7.3280000000000003</v>
      </c>
      <c r="D6" s="83">
        <v>9.16</v>
      </c>
      <c r="E6" s="55">
        <v>10.992000000000001</v>
      </c>
      <c r="F6" s="51" t="s">
        <v>51</v>
      </c>
      <c r="G6" s="49">
        <v>8.77</v>
      </c>
      <c r="H6" s="92">
        <f>G6*M$20</f>
        <v>9.4088351795904668</v>
      </c>
      <c r="I6" s="90">
        <f>H6/M$22</f>
        <v>6.8289932744077593</v>
      </c>
      <c r="J6" s="53" t="s">
        <v>54</v>
      </c>
      <c r="K6" s="66">
        <v>184243000000</v>
      </c>
      <c r="L6" s="153">
        <f>K6/K5</f>
        <v>12.352866242038216</v>
      </c>
      <c r="M6" s="81">
        <f>L6/M18*1000</f>
        <v>39.847955619478121</v>
      </c>
      <c r="N6" s="28"/>
      <c r="O6" s="28"/>
      <c r="P6" s="28"/>
      <c r="Q6" s="29"/>
      <c r="R6" s="29"/>
      <c r="S6" s="29"/>
    </row>
    <row r="7" spans="1:19" ht="15.75" thickBot="1">
      <c r="B7" s="84" t="s">
        <v>56</v>
      </c>
      <c r="C7" s="95">
        <f>('Tőkeköltség, energiaár'!B5*525*1000/('Tőkeköltség, energiaár'!B11*'Tőkeköltség, energiaár'!B9/1000))*'Tőkeköltség, energiaár'!B7</f>
        <v>1.1945255122070744</v>
      </c>
      <c r="D7" s="95">
        <f>('Tőkeköltség, energiaár'!B5*750*1000/('Tőkeköltség, energiaár'!B11*'Tőkeköltség, energiaár'!B9/1000))*'Tőkeköltség, energiaár'!B7</f>
        <v>1.7064650174386777</v>
      </c>
      <c r="E7" s="70">
        <f>('Tőkeköltség, energiaár'!B5*975*1000/('Tőkeköltség, energiaár'!B11*'Tőkeköltség, energiaár'!B9/1000))*'Tőkeköltség, energiaár'!B7</f>
        <v>2.2184045226702809</v>
      </c>
      <c r="F7" s="62" t="s">
        <v>56</v>
      </c>
      <c r="G7" s="85">
        <v>1.77</v>
      </c>
      <c r="H7" s="93">
        <f>G7*M$20</f>
        <v>1.8989325276938571</v>
      </c>
      <c r="I7" s="94">
        <f>H7/M$22</f>
        <v>1.3782574795554998</v>
      </c>
      <c r="J7" s="53" t="s">
        <v>55</v>
      </c>
      <c r="K7" s="66">
        <v>151222000000</v>
      </c>
      <c r="L7" s="114">
        <f>K7/K5</f>
        <v>10.138920549782098</v>
      </c>
      <c r="M7" s="118"/>
      <c r="N7" s="28"/>
      <c r="O7" s="28"/>
      <c r="P7" s="29"/>
      <c r="Q7" s="29"/>
      <c r="R7" s="29"/>
      <c r="S7" s="29"/>
    </row>
    <row r="8" spans="1:19" ht="16.5" thickTop="1" thickBot="1">
      <c r="B8" s="71" t="s">
        <v>28</v>
      </c>
      <c r="C8" s="72">
        <f>SUM(C5:C7)</f>
        <v>20.602525512207077</v>
      </c>
      <c r="D8" s="72">
        <f>SUM(D5:D7)</f>
        <v>25.356465017438676</v>
      </c>
      <c r="E8" s="74">
        <f>SUM(E5:E7)</f>
        <v>30.59040452267028</v>
      </c>
      <c r="F8" s="73" t="s">
        <v>28</v>
      </c>
      <c r="G8" s="72">
        <f>SUM(G5:G7)</f>
        <v>40.330000000000005</v>
      </c>
      <c r="H8" s="99">
        <f>G8*M$20</f>
        <v>43.267767707284335</v>
      </c>
      <c r="I8" s="100">
        <f>H8/M$22</f>
        <v>31.404024943770239</v>
      </c>
      <c r="J8" s="56" t="s">
        <v>74</v>
      </c>
      <c r="K8" s="67">
        <v>19329000000</v>
      </c>
      <c r="L8" s="115">
        <f>K8/K6*L6</f>
        <v>1.2959436808581963</v>
      </c>
      <c r="M8" s="119"/>
      <c r="O8" s="28"/>
      <c r="P8" s="103"/>
      <c r="Q8" s="29"/>
      <c r="R8" s="29"/>
      <c r="S8" s="29"/>
    </row>
    <row r="9" spans="1:19">
      <c r="B9" s="108" t="s">
        <v>12</v>
      </c>
      <c r="C9" s="69" t="s">
        <v>9</v>
      </c>
      <c r="D9" s="105" t="s">
        <v>75</v>
      </c>
      <c r="E9" s="80" t="s">
        <v>10</v>
      </c>
      <c r="F9" s="104"/>
      <c r="G9" s="196" t="s">
        <v>12</v>
      </c>
      <c r="H9" s="197"/>
      <c r="I9" s="198"/>
      <c r="J9" s="12"/>
      <c r="K9" s="12"/>
      <c r="L9" s="12"/>
      <c r="P9" s="28"/>
      <c r="Q9" s="12"/>
      <c r="R9" s="12"/>
      <c r="S9" s="12"/>
    </row>
    <row r="10" spans="1:19">
      <c r="B10" s="53" t="s">
        <v>8</v>
      </c>
      <c r="C10" s="50">
        <f t="shared" ref="C10:E12" si="0">C5*$M$16/1000</f>
        <v>2.718</v>
      </c>
      <c r="D10" s="50">
        <f t="shared" si="0"/>
        <v>3.2602500000000001</v>
      </c>
      <c r="E10" s="55">
        <f t="shared" si="0"/>
        <v>3.9104999999999999</v>
      </c>
      <c r="F10" s="51" t="s">
        <v>8</v>
      </c>
      <c r="G10" s="50">
        <f t="shared" ref="G10:H12" si="1">G5*$M$16/1000</f>
        <v>6.70275</v>
      </c>
      <c r="H10" s="52">
        <f t="shared" si="1"/>
        <v>7.1909999999999998</v>
      </c>
      <c r="I10" s="81">
        <f>I5*$M$18/1000</f>
        <v>7.1909999988401614</v>
      </c>
      <c r="J10" s="12"/>
      <c r="K10" s="12"/>
      <c r="L10" s="12"/>
      <c r="Q10" s="12"/>
      <c r="R10" s="12"/>
      <c r="S10" s="12"/>
    </row>
    <row r="11" spans="1:19">
      <c r="B11" s="53" t="s">
        <v>51</v>
      </c>
      <c r="C11" s="50">
        <f t="shared" si="0"/>
        <v>1.6488</v>
      </c>
      <c r="D11" s="50">
        <f t="shared" si="0"/>
        <v>2.0609999999999999</v>
      </c>
      <c r="E11" s="55">
        <f t="shared" si="0"/>
        <v>2.4732000000000003</v>
      </c>
      <c r="F11" s="51" t="s">
        <v>51</v>
      </c>
      <c r="G11" s="50">
        <f t="shared" si="1"/>
        <v>1.9732499999999999</v>
      </c>
      <c r="H11" s="52">
        <f t="shared" si="1"/>
        <v>2.1169879154078548</v>
      </c>
      <c r="I11" s="81">
        <f>I6*$M$18/1000</f>
        <v>2.1169879150664057</v>
      </c>
      <c r="K11" s="27"/>
      <c r="L11" s="12"/>
      <c r="Q11" s="12"/>
      <c r="R11" s="27"/>
      <c r="S11" s="27"/>
    </row>
    <row r="12" spans="1:19" ht="15.75" thickBot="1">
      <c r="B12" s="109" t="s">
        <v>56</v>
      </c>
      <c r="C12" s="106">
        <f t="shared" si="0"/>
        <v>0.26876824024659174</v>
      </c>
      <c r="D12" s="106">
        <f t="shared" si="0"/>
        <v>0.38395462892370252</v>
      </c>
      <c r="E12" s="110">
        <f t="shared" si="0"/>
        <v>0.4991410176008132</v>
      </c>
      <c r="F12" s="62" t="s">
        <v>56</v>
      </c>
      <c r="G12" s="95">
        <f t="shared" si="1"/>
        <v>0.39824999999999999</v>
      </c>
      <c r="H12" s="96">
        <f t="shared" si="1"/>
        <v>0.42725981873111785</v>
      </c>
      <c r="I12" s="97">
        <f>I7*$M$18/1000</f>
        <v>0.42725981866220497</v>
      </c>
      <c r="K12" s="30"/>
      <c r="L12" s="30"/>
      <c r="M12" s="30"/>
      <c r="N12" s="30"/>
      <c r="O12" s="30"/>
      <c r="P12" s="30"/>
      <c r="Q12" s="30"/>
      <c r="R12" s="31"/>
      <c r="S12" s="31"/>
    </row>
    <row r="13" spans="1:19" ht="16.5" thickTop="1" thickBot="1">
      <c r="B13" s="111" t="s">
        <v>76</v>
      </c>
      <c r="C13" s="107">
        <f>L8-(AVERAGE(C12,D12,E12))</f>
        <v>0.91198905193449398</v>
      </c>
      <c r="D13" s="107">
        <f>C13</f>
        <v>0.91198905193449398</v>
      </c>
      <c r="E13" s="94">
        <f>C13</f>
        <v>0.91198905193449398</v>
      </c>
      <c r="F13" s="60" t="s">
        <v>28</v>
      </c>
      <c r="G13" s="58">
        <f>SUM(G10:G12)</f>
        <v>9.0742499999999993</v>
      </c>
      <c r="H13" s="59">
        <f>H8*$M$16/1000</f>
        <v>9.7352477341389747</v>
      </c>
      <c r="I13" s="152">
        <f>I8*$M$18/1000</f>
        <v>9.7352477325687747</v>
      </c>
      <c r="J13" s="28"/>
      <c r="K13" s="30"/>
      <c r="L13" s="30"/>
      <c r="M13" s="30"/>
      <c r="N13" s="30"/>
      <c r="O13" s="8"/>
      <c r="Q13" s="31"/>
      <c r="R13" s="31"/>
      <c r="S13" s="31"/>
    </row>
    <row r="14" spans="1:19" ht="16.5" thickTop="1" thickBot="1">
      <c r="A14" s="12"/>
      <c r="B14" s="57" t="s">
        <v>28</v>
      </c>
      <c r="C14" s="58">
        <f>SUM(C10:C13)</f>
        <v>5.5475572921810858</v>
      </c>
      <c r="D14" s="151">
        <f t="shared" ref="D14:E14" si="2">SUM(D10:D13)</f>
        <v>6.6171936808581968</v>
      </c>
      <c r="E14" s="61">
        <f t="shared" si="2"/>
        <v>7.7948300695353074</v>
      </c>
      <c r="F14" s="12"/>
      <c r="G14" s="12"/>
      <c r="H14" s="12"/>
      <c r="I14" s="12"/>
      <c r="J14" s="28"/>
      <c r="L14" s="30"/>
      <c r="M14" s="30"/>
      <c r="N14" s="30"/>
      <c r="O14" s="8"/>
      <c r="P14" s="8"/>
      <c r="Q14" s="31"/>
      <c r="R14" s="31"/>
      <c r="S14" s="31"/>
    </row>
    <row r="15" spans="1:19">
      <c r="A15" s="12"/>
      <c r="B15" s="12"/>
      <c r="G15" s="202" t="s">
        <v>77</v>
      </c>
      <c r="H15" s="156" t="s">
        <v>29</v>
      </c>
      <c r="I15" s="154" t="s">
        <v>12</v>
      </c>
      <c r="J15" s="12"/>
      <c r="K15" s="178"/>
      <c r="L15" s="12"/>
      <c r="M15" s="68" t="s">
        <v>70</v>
      </c>
      <c r="N15" s="12"/>
      <c r="O15" s="8"/>
      <c r="P15" s="8"/>
      <c r="Q15" s="12"/>
      <c r="R15" s="12"/>
      <c r="S15" s="12"/>
    </row>
    <row r="16" spans="1:19" ht="15.75" thickBot="1">
      <c r="A16" s="12"/>
      <c r="D16" s="24"/>
      <c r="E16" s="24"/>
      <c r="F16" s="24"/>
      <c r="G16" s="203"/>
      <c r="H16" s="157">
        <f>AVERAGE(((D8+D13/M16*1000)/M22),I8,M6)</f>
        <v>30.86592220903</v>
      </c>
      <c r="I16" s="155">
        <f>AVERAGE(D14,I13,L6)</f>
        <v>9.568435885155063</v>
      </c>
      <c r="L16" s="12"/>
      <c r="M16" s="87">
        <v>225</v>
      </c>
      <c r="N16" s="12"/>
      <c r="O16" s="12"/>
      <c r="P16" s="12"/>
      <c r="Q16" s="12"/>
      <c r="R16" s="12"/>
      <c r="S16" s="12"/>
    </row>
    <row r="17" spans="1:19">
      <c r="A17" s="12"/>
      <c r="F17" s="12"/>
      <c r="I17" s="12"/>
      <c r="L17" s="27"/>
      <c r="M17" s="86" t="s">
        <v>68</v>
      </c>
      <c r="N17" s="27"/>
      <c r="O17" s="27"/>
      <c r="P17" s="27"/>
      <c r="Q17" s="27"/>
      <c r="R17" s="27"/>
      <c r="S17" s="27"/>
    </row>
    <row r="18" spans="1:19" ht="15.75" thickBot="1">
      <c r="A18" s="12"/>
      <c r="B18" s="75" t="s">
        <v>60</v>
      </c>
      <c r="C18" s="12" t="s">
        <v>61</v>
      </c>
      <c r="F18" s="12"/>
      <c r="I18" s="75"/>
      <c r="L18" s="32"/>
      <c r="M18" s="87">
        <f>'Tőkeköltség, energiaár'!B12</f>
        <v>310</v>
      </c>
      <c r="N18" s="32"/>
      <c r="O18" s="32"/>
      <c r="P18" s="32"/>
      <c r="Q18" s="32"/>
      <c r="R18" s="32"/>
      <c r="S18" s="31"/>
    </row>
    <row r="19" spans="1:19" ht="15.75" thickTop="1">
      <c r="A19" s="12"/>
      <c r="B19" s="12"/>
      <c r="C19" s="12" t="s">
        <v>64</v>
      </c>
      <c r="F19" s="12"/>
      <c r="I19" s="12"/>
      <c r="L19" s="32"/>
      <c r="M19" s="88" t="s">
        <v>69</v>
      </c>
      <c r="N19" s="32"/>
      <c r="O19" s="32"/>
      <c r="P19" s="32"/>
      <c r="Q19" s="32"/>
      <c r="R19" s="31"/>
      <c r="S19" s="31"/>
    </row>
    <row r="20" spans="1:19" ht="15.75" thickBot="1">
      <c r="A20" s="12"/>
      <c r="B20" s="12"/>
      <c r="C20" s="12" t="s">
        <v>65</v>
      </c>
      <c r="F20" s="12"/>
      <c r="I20" s="12"/>
      <c r="L20" s="32"/>
      <c r="M20" s="89">
        <f>H5/G5</f>
        <v>1.07284323598523</v>
      </c>
      <c r="N20" s="32"/>
      <c r="O20" s="32"/>
      <c r="P20" s="32"/>
      <c r="Q20" s="31"/>
      <c r="R20" s="31"/>
      <c r="S20" s="31"/>
    </row>
    <row r="21" spans="1:19" ht="15.75" thickTop="1">
      <c r="A21" s="12"/>
      <c r="B21" s="12"/>
      <c r="C21" s="12" t="s">
        <v>72</v>
      </c>
      <c r="F21" s="12"/>
      <c r="I21" s="12"/>
      <c r="L21" s="12"/>
      <c r="M21" s="86" t="s">
        <v>71</v>
      </c>
      <c r="N21" s="12"/>
      <c r="O21" s="12"/>
      <c r="P21" s="12"/>
      <c r="Q21" s="12"/>
      <c r="R21" s="12"/>
      <c r="S21" s="12"/>
    </row>
    <row r="22" spans="1:19" ht="15.75" thickBot="1">
      <c r="A22" s="12"/>
      <c r="B22" s="12"/>
      <c r="C22" s="12"/>
      <c r="E22" s="12"/>
      <c r="F22" s="12"/>
      <c r="I22" s="12"/>
      <c r="L22" s="12"/>
      <c r="M22" s="179">
        <v>1.377777778</v>
      </c>
      <c r="N22" s="12"/>
      <c r="O22" s="12"/>
      <c r="P22" s="12"/>
      <c r="Q22" s="12"/>
      <c r="R22" s="12"/>
      <c r="S22" s="12"/>
    </row>
    <row r="23" spans="1:19">
      <c r="A23" s="12"/>
      <c r="B23" s="12"/>
      <c r="C23" s="195" t="s">
        <v>81</v>
      </c>
      <c r="D23" s="195"/>
      <c r="E23" s="195"/>
      <c r="F23" s="12"/>
      <c r="I23" s="12"/>
      <c r="L23" s="12"/>
      <c r="M23" s="12"/>
      <c r="N23" s="12"/>
      <c r="O23" s="12"/>
      <c r="P23" s="12"/>
      <c r="Q23" s="12"/>
      <c r="R23" s="12"/>
      <c r="S23" s="12"/>
    </row>
    <row r="24" spans="1:19">
      <c r="A24" s="12"/>
      <c r="B24" s="12"/>
      <c r="D24" s="38" t="s">
        <v>5</v>
      </c>
      <c r="E24" s="12"/>
      <c r="F24" s="12"/>
      <c r="H24" s="12"/>
      <c r="I24" s="12"/>
      <c r="J24" s="7"/>
      <c r="K24" s="7"/>
      <c r="L24" s="7"/>
      <c r="M24" s="12"/>
      <c r="N24" s="12"/>
      <c r="O24" s="12"/>
      <c r="P24" s="12"/>
      <c r="Q24" s="12"/>
      <c r="R24" s="12"/>
      <c r="S24" s="12"/>
    </row>
    <row r="25" spans="1:19">
      <c r="A25" s="12"/>
      <c r="B25" s="12"/>
      <c r="C25" t="s">
        <v>7</v>
      </c>
      <c r="D25" s="24">
        <f>'Tőkeköltség, energiaár'!B80</f>
        <v>16.036170512569949</v>
      </c>
      <c r="E25" s="160">
        <f t="shared" ref="E25:E30" si="3">D25/D$31</f>
        <v>0.51302184717231591</v>
      </c>
      <c r="F25" s="12"/>
      <c r="G25" s="102"/>
      <c r="H25" s="12"/>
      <c r="I25" s="12"/>
      <c r="J25" s="7"/>
      <c r="K25" s="7"/>
      <c r="L25" s="7"/>
      <c r="M25" s="12"/>
      <c r="N25" s="12"/>
      <c r="O25" s="12"/>
      <c r="P25" s="12"/>
      <c r="Q25" s="12"/>
      <c r="R25" s="12"/>
      <c r="S25" s="12"/>
    </row>
    <row r="26" spans="1:19">
      <c r="A26" s="12"/>
      <c r="B26" s="12"/>
      <c r="C26" s="171" t="s">
        <v>94</v>
      </c>
      <c r="D26" s="24">
        <f>'Tőkeköltség, energiaár'!C80</f>
        <v>5.660849627885149</v>
      </c>
      <c r="E26" s="160">
        <f t="shared" si="3"/>
        <v>0.18109931734549387</v>
      </c>
      <c r="F26" s="12"/>
      <c r="G26" s="102"/>
      <c r="H26" s="12"/>
      <c r="I26" s="12"/>
      <c r="J26" s="7"/>
      <c r="K26" s="7"/>
      <c r="L26" s="7"/>
      <c r="M26" s="12"/>
      <c r="N26" s="12"/>
      <c r="O26" s="12"/>
      <c r="P26" s="12"/>
      <c r="Q26" s="12"/>
      <c r="R26" s="12"/>
      <c r="S26" s="12"/>
    </row>
    <row r="27" spans="1:19">
      <c r="A27" s="12"/>
      <c r="B27" s="12"/>
      <c r="C27" t="s">
        <v>8</v>
      </c>
      <c r="D27" s="24">
        <f>(I10-(L8-I12))/I13*I16</f>
        <v>6.2139843033248292</v>
      </c>
      <c r="E27" s="160">
        <f t="shared" si="3"/>
        <v>0.19879494939846382</v>
      </c>
      <c r="F27" s="12"/>
      <c r="G27" s="10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</row>
    <row r="28" spans="1:19">
      <c r="A28" s="12"/>
      <c r="B28" s="12"/>
      <c r="C28" t="s">
        <v>51</v>
      </c>
      <c r="D28" s="24">
        <f>I11/I13*I16</f>
        <v>2.0807136799605725</v>
      </c>
      <c r="E28" s="160">
        <f t="shared" si="3"/>
        <v>6.6565242287325285E-2</v>
      </c>
      <c r="F28" s="12"/>
      <c r="G28" s="102"/>
      <c r="H28" s="12"/>
      <c r="I28" s="12"/>
      <c r="J28" s="12"/>
      <c r="K28" s="27"/>
      <c r="L28" s="27"/>
      <c r="M28" s="27"/>
      <c r="N28" s="27"/>
      <c r="O28" s="27"/>
      <c r="P28" s="27"/>
      <c r="Q28" s="27"/>
      <c r="R28" s="27"/>
      <c r="S28" s="12"/>
    </row>
    <row r="29" spans="1:19">
      <c r="A29" s="12"/>
      <c r="B29" s="12"/>
      <c r="C29" t="s">
        <v>76</v>
      </c>
      <c r="D29" s="24">
        <f>(L8-I12)/I13*I16</f>
        <v>0.85379910899278189</v>
      </c>
      <c r="E29" s="160">
        <f t="shared" si="3"/>
        <v>2.7314351369999119E-2</v>
      </c>
      <c r="F29" s="12"/>
      <c r="G29" s="102"/>
      <c r="H29" s="12"/>
      <c r="I29" s="12"/>
      <c r="J29" s="7"/>
      <c r="K29" s="7"/>
      <c r="L29" s="7"/>
      <c r="M29" s="7"/>
      <c r="N29" s="7"/>
      <c r="O29" s="7"/>
      <c r="P29" s="7"/>
      <c r="Q29" s="7"/>
      <c r="R29" s="7"/>
      <c r="S29" s="12"/>
    </row>
    <row r="30" spans="1:19">
      <c r="A30" s="12"/>
      <c r="B30" s="12"/>
      <c r="C30" t="s">
        <v>56</v>
      </c>
      <c r="D30" s="24">
        <f>(I12/I13*I16)/I13*I16</f>
        <v>0.41274321164825323</v>
      </c>
      <c r="E30" s="160">
        <f t="shared" si="3"/>
        <v>1.320429242640216E-2</v>
      </c>
      <c r="F30" s="12"/>
      <c r="G30" s="12"/>
      <c r="H30" s="12"/>
      <c r="I30" s="12"/>
      <c r="J30" s="7"/>
      <c r="K30" s="7"/>
      <c r="L30" s="7"/>
      <c r="M30" s="7"/>
      <c r="N30" s="7"/>
      <c r="O30" s="7"/>
      <c r="P30" s="7"/>
      <c r="Q30" s="7"/>
      <c r="R30" s="7"/>
      <c r="S30" s="12"/>
    </row>
    <row r="31" spans="1:19">
      <c r="A31" s="12"/>
      <c r="B31" s="12"/>
      <c r="C31" s="12"/>
      <c r="D31" s="102">
        <f>SUM(D25:D30)</f>
        <v>31.258260444381531</v>
      </c>
      <c r="E31" s="161"/>
      <c r="F31" s="12"/>
      <c r="G31" s="12"/>
      <c r="H31" s="12"/>
      <c r="I31" s="12"/>
      <c r="J31" s="7"/>
      <c r="K31" s="7"/>
      <c r="L31" s="7"/>
      <c r="M31" s="7"/>
      <c r="N31" s="7"/>
      <c r="O31" s="7"/>
      <c r="P31" s="7"/>
      <c r="Q31" s="7"/>
      <c r="R31" s="7"/>
      <c r="S31" s="12"/>
    </row>
    <row r="32" spans="1:19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</row>
    <row r="33" spans="1:19">
      <c r="A33" s="12"/>
      <c r="B33" s="12"/>
      <c r="C33" s="12"/>
      <c r="D33" s="12"/>
      <c r="E33" s="12"/>
      <c r="F33" s="12"/>
      <c r="G33" s="12"/>
      <c r="H33" s="48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</row>
    <row r="34" spans="1:19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27"/>
      <c r="L34" s="27"/>
      <c r="M34" s="27"/>
      <c r="N34" s="27"/>
      <c r="O34" s="27"/>
      <c r="P34" s="27"/>
      <c r="Q34" s="27"/>
      <c r="R34" s="27"/>
      <c r="S34" s="12"/>
    </row>
    <row r="35" spans="1:19">
      <c r="A35" s="12"/>
      <c r="B35" s="12"/>
      <c r="C35" s="12"/>
      <c r="D35" s="12"/>
      <c r="E35" s="12"/>
      <c r="F35" s="12"/>
      <c r="G35" s="12"/>
      <c r="H35" s="12"/>
      <c r="I35" s="12"/>
      <c r="J35" s="7"/>
      <c r="K35" s="30"/>
      <c r="L35" s="30"/>
      <c r="M35" s="30"/>
      <c r="N35" s="30"/>
      <c r="O35" s="30"/>
      <c r="P35" s="30"/>
      <c r="Q35" s="30"/>
      <c r="R35" s="30"/>
      <c r="S35" s="12"/>
    </row>
    <row r="36" spans="1:19">
      <c r="A36" s="12"/>
      <c r="B36" s="12"/>
      <c r="C36" s="12"/>
      <c r="D36" s="12"/>
      <c r="E36" s="12"/>
      <c r="F36" s="12"/>
      <c r="G36" s="12"/>
      <c r="H36" s="12"/>
      <c r="I36" s="12"/>
      <c r="J36" s="7"/>
      <c r="K36" s="30"/>
      <c r="L36" s="30"/>
      <c r="M36" s="30"/>
      <c r="N36" s="30"/>
      <c r="O36" s="30"/>
      <c r="P36" s="30"/>
      <c r="Q36" s="30"/>
      <c r="R36" s="30"/>
      <c r="S36" s="12"/>
    </row>
    <row r="37" spans="1:19">
      <c r="A37" s="12"/>
      <c r="B37" s="12"/>
      <c r="C37" s="12"/>
      <c r="D37" s="12"/>
      <c r="E37" s="12"/>
      <c r="F37" s="12"/>
      <c r="G37" s="12"/>
      <c r="H37" s="12"/>
      <c r="I37" s="12"/>
      <c r="J37" s="7"/>
      <c r="K37" s="30"/>
      <c r="L37" s="30"/>
      <c r="M37" s="30"/>
      <c r="N37" s="30"/>
      <c r="O37" s="30"/>
      <c r="P37" s="30"/>
      <c r="Q37" s="30"/>
      <c r="R37" s="30"/>
      <c r="S37" s="12"/>
    </row>
    <row r="38" spans="1:19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</row>
    <row r="39" spans="1:19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</row>
    <row r="40" spans="1:19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</row>
    <row r="41" spans="1:19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7"/>
      <c r="N41" s="7"/>
      <c r="O41" s="7"/>
      <c r="P41" s="12"/>
      <c r="Q41" s="12"/>
      <c r="R41" s="12"/>
      <c r="S41" s="12"/>
    </row>
    <row r="42" spans="1:19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</row>
    <row r="43" spans="1:19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</row>
    <row r="44" spans="1:19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</row>
    <row r="45" spans="1:19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</row>
    <row r="46" spans="1:19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</row>
    <row r="47" spans="1:19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7"/>
      <c r="N47" s="12"/>
      <c r="O47" s="12"/>
      <c r="P47" s="12"/>
      <c r="Q47" s="12"/>
    </row>
    <row r="48" spans="1:19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</row>
    <row r="49" spans="1:17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7"/>
      <c r="M49" s="7"/>
      <c r="N49" s="7"/>
      <c r="O49" s="33"/>
      <c r="P49" s="12"/>
      <c r="Q49" s="12"/>
    </row>
    <row r="50" spans="1:17">
      <c r="A50" s="12"/>
      <c r="B50" s="12"/>
      <c r="C50" s="12"/>
      <c r="D50" s="12"/>
      <c r="E50" s="12"/>
      <c r="F50" s="12"/>
      <c r="G50" s="12"/>
      <c r="H50" s="12"/>
      <c r="I50" s="12"/>
      <c r="J50" s="34"/>
      <c r="K50" s="12"/>
      <c r="L50" s="12"/>
      <c r="M50" s="12"/>
      <c r="N50" s="12"/>
      <c r="O50" s="12"/>
      <c r="P50" s="12"/>
      <c r="Q50" s="12"/>
    </row>
    <row r="51" spans="1:17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</row>
    <row r="52" spans="1:17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35"/>
      <c r="Q52" s="12"/>
    </row>
    <row r="53" spans="1:17">
      <c r="A53" s="12"/>
      <c r="B53" s="12"/>
      <c r="C53" s="12"/>
      <c r="D53" s="12"/>
      <c r="E53" s="12"/>
      <c r="F53" s="12"/>
      <c r="G53" s="12"/>
      <c r="H53" s="12"/>
      <c r="I53" s="12"/>
      <c r="J53" s="34"/>
      <c r="K53" s="12"/>
      <c r="L53" s="28"/>
      <c r="M53" s="7"/>
      <c r="N53" s="7"/>
      <c r="O53" s="32"/>
      <c r="P53" s="12"/>
      <c r="Q53" s="12"/>
    </row>
    <row r="54" spans="1:17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</row>
    <row r="55" spans="1:17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</row>
    <row r="56" spans="1:17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34"/>
      <c r="L56" s="12"/>
      <c r="M56" s="12"/>
      <c r="N56" s="12"/>
      <c r="O56" s="12"/>
      <c r="P56" s="12"/>
      <c r="Q56" s="12"/>
    </row>
    <row r="57" spans="1:17">
      <c r="A57" s="12"/>
      <c r="B57" s="12"/>
      <c r="C57" s="12"/>
      <c r="D57" s="12"/>
      <c r="E57" s="12"/>
      <c r="F57" s="12"/>
      <c r="G57" s="12"/>
      <c r="H57" s="12"/>
      <c r="I57" s="12"/>
      <c r="J57" s="7"/>
      <c r="K57" s="28"/>
      <c r="L57" s="12"/>
      <c r="M57" s="12"/>
      <c r="N57" s="12"/>
      <c r="O57" s="12"/>
      <c r="P57" s="12"/>
      <c r="Q57" s="12"/>
    </row>
    <row r="58" spans="1:17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30"/>
      <c r="L58" s="12"/>
      <c r="M58" s="12"/>
      <c r="N58" s="12"/>
      <c r="O58" s="12"/>
      <c r="P58" s="12"/>
      <c r="Q58" s="12"/>
    </row>
    <row r="59" spans="1:17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</row>
    <row r="60" spans="1:17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7"/>
      <c r="L60" s="12"/>
      <c r="M60" s="12"/>
      <c r="N60" s="12"/>
      <c r="O60" s="12"/>
      <c r="P60" s="12"/>
      <c r="Q60" s="12"/>
    </row>
    <row r="61" spans="1:17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30"/>
      <c r="L61" s="12"/>
      <c r="M61" s="12"/>
      <c r="N61" s="12"/>
      <c r="O61" s="12"/>
      <c r="P61" s="12"/>
      <c r="Q61" s="12"/>
    </row>
    <row r="62" spans="1:17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</row>
  </sheetData>
  <mergeCells count="6">
    <mergeCell ref="C23:E23"/>
    <mergeCell ref="G9:I9"/>
    <mergeCell ref="B3:E3"/>
    <mergeCell ref="G15:G16"/>
    <mergeCell ref="J3:M3"/>
    <mergeCell ref="F3:I3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Diagramok</vt:lpstr>
      </vt:variant>
      <vt:variant>
        <vt:i4>1</vt:i4>
      </vt:variant>
    </vt:vector>
  </HeadingPairs>
  <TitlesOfParts>
    <vt:vector size="4" baseType="lpstr">
      <vt:lpstr>Magyarázat</vt:lpstr>
      <vt:lpstr>Tőkeköltség, energiaár</vt:lpstr>
      <vt:lpstr>O&amp;M, F, egyéb</vt:lpstr>
      <vt:lpstr>Árszerkezet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perger</dc:creator>
  <cp:lastModifiedBy>perger</cp:lastModifiedBy>
  <dcterms:created xsi:type="dcterms:W3CDTF">2013-02-15T07:52:39Z</dcterms:created>
  <dcterms:modified xsi:type="dcterms:W3CDTF">2014-02-25T17:47:33Z</dcterms:modified>
</cp:coreProperties>
</file>